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hZ+hNNkzGO+JNsWt35FWY/UR0vWG7hCz8gSUJKt6RPhBjx5Dic7mIIcV9JgIvMkASYN6q6Xn41i0hYtoLlWhA==" workbookSaltValue="Ac0epTenVavvlafJt3K4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AN21" i="13"/>
  <c r="D20" i="12"/>
  <c r="ER21" i="8"/>
  <c r="N19" i="11"/>
  <c r="AE14" i="21"/>
  <c r="EL21" i="8"/>
  <c r="EQ21" i="8"/>
  <c r="EN21" i="8"/>
  <c r="K20" i="11"/>
  <c r="BA14" i="16"/>
  <c r="N10" i="11"/>
  <c r="N9" i="11"/>
  <c r="ES21" i="8"/>
  <c r="G20" i="12"/>
  <c r="AQ19" i="11"/>
  <c r="AK21" i="8"/>
  <c r="EP21" i="8"/>
  <c r="ER21" i="13"/>
  <c r="AL14" i="16"/>
  <c r="EP21" i="19"/>
  <c r="S14" i="16"/>
  <c r="P14" i="16"/>
  <c r="F18" i="17"/>
  <c r="AQ18" i="17" s="1"/>
  <c r="M14" i="2"/>
  <c r="F14" i="7"/>
  <c r="T14" i="12"/>
  <c r="T14" i="16"/>
  <c r="BF16" i="8"/>
  <c r="BG16" i="8"/>
  <c r="K16" i="7" s="1"/>
  <c r="BD9" i="8"/>
  <c r="BE9" i="8"/>
  <c r="E14" i="17"/>
  <c r="AH14" i="16"/>
  <c r="T14" i="20"/>
  <c r="T20" i="17"/>
  <c r="BG16" i="13"/>
  <c r="BB20" i="13"/>
  <c r="BE17" i="13"/>
  <c r="BF17" i="13"/>
  <c r="G14" i="14"/>
  <c r="U10" i="11"/>
  <c r="W22" i="21"/>
  <c r="AF22" i="20"/>
  <c r="U18" i="11"/>
  <c r="AL22" i="20"/>
  <c r="AE22" i="20"/>
  <c r="AG22" i="20"/>
  <c r="L22" i="20"/>
  <c r="M22" i="20"/>
  <c r="N22" i="20"/>
  <c r="K22" i="20"/>
  <c r="Y22" i="20"/>
  <c r="AC22" i="20"/>
  <c r="AA22" i="20"/>
  <c r="U12" i="11"/>
  <c r="AQ22" i="21"/>
  <c r="U17" i="11"/>
  <c r="AQ22" i="20"/>
  <c r="W22" i="20"/>
  <c r="AE21" i="8" l="1"/>
  <c r="BF18" i="8"/>
  <c r="Z14" i="17"/>
  <c r="BA14" i="8"/>
  <c r="AY14" i="8"/>
  <c r="BG10" i="8"/>
  <c r="R21" i="8"/>
  <c r="F13" i="2"/>
  <c r="H12" i="2"/>
  <c r="AL16" i="11"/>
  <c r="M20" i="2"/>
  <c r="N20" i="2"/>
  <c r="BE16" i="13"/>
  <c r="BF16" i="13"/>
  <c r="R13" i="17"/>
  <c r="BD17" i="13"/>
  <c r="I13" i="14"/>
  <c r="F11" i="16"/>
  <c r="BL11" i="16" s="1"/>
  <c r="R8" i="9"/>
  <c r="S12" i="14" s="1"/>
  <c r="V12" i="14" s="1"/>
  <c r="L9" i="2"/>
  <c r="L19" i="2"/>
  <c r="X19" i="16"/>
  <c r="S16" i="17"/>
  <c r="BH12" i="16"/>
  <c r="S18" i="17"/>
  <c r="BH11" i="11"/>
  <c r="BJ10" i="11"/>
  <c r="BL16" i="11"/>
  <c r="P16" i="17"/>
  <c r="S11" i="14"/>
  <c r="V11" i="14" s="1"/>
  <c r="BU18" i="17"/>
  <c r="U13" i="17"/>
  <c r="BW13" i="20"/>
  <c r="BU16" i="17"/>
  <c r="BG19" i="11"/>
  <c r="BG16" i="11"/>
  <c r="BI19" i="11"/>
  <c r="BM12" i="11"/>
  <c r="BK9" i="11"/>
  <c r="BF18" i="11"/>
  <c r="BH16" i="16"/>
  <c r="BL9" i="1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BF20" i="13" l="1"/>
  <c r="BH18" i="16"/>
  <c r="Q18" i="20"/>
  <c r="Q20" i="20" s="1"/>
  <c r="BK19" i="11"/>
  <c r="S9" i="17"/>
  <c r="S9" i="14"/>
  <c r="V9" i="14" s="1"/>
  <c r="BJ12" i="11"/>
  <c r="AQ14" i="21"/>
  <c r="T18" i="16"/>
  <c r="BW9" i="20"/>
  <c r="BW23" i="20" s="1"/>
  <c r="BW17" i="20"/>
  <c r="U10" i="17"/>
  <c r="BU17" i="17"/>
  <c r="BG12" i="11"/>
  <c r="P12" i="11" s="1"/>
  <c r="BF12" i="11"/>
  <c r="BL10" i="11"/>
  <c r="BK17" i="11"/>
  <c r="BG17" i="11"/>
  <c r="P17" i="11" s="1"/>
  <c r="BM9" i="11"/>
  <c r="Q9" i="11" s="1"/>
  <c r="BK10" i="11"/>
  <c r="L12" i="2"/>
  <c r="L18" i="2"/>
  <c r="U9" i="17"/>
  <c r="U21" i="17" s="1"/>
  <c r="V9" i="16"/>
  <c r="S17" i="14"/>
  <c r="V17" i="14" s="1"/>
  <c r="BH9" i="16"/>
  <c r="AP17" i="20"/>
  <c r="BK13" i="11"/>
  <c r="BM17" i="11"/>
  <c r="BH19" i="11"/>
  <c r="AZ19" i="11"/>
  <c r="V12" i="21"/>
  <c r="V14" i="21" s="1"/>
  <c r="V21" i="21" s="1"/>
  <c r="V18" i="16"/>
  <c r="BK16" i="11"/>
  <c r="V13" i="11"/>
  <c r="BM13" i="11"/>
  <c r="BL11" i="11"/>
  <c r="BM16" i="11"/>
  <c r="Q16" i="11" s="1"/>
  <c r="BV19" i="16"/>
  <c r="BV17" i="16"/>
  <c r="BV20" i="16" s="1"/>
  <c r="BW11" i="20"/>
  <c r="V12" i="16"/>
  <c r="T17" i="11"/>
  <c r="BH10" i="11"/>
  <c r="AQ10" i="21"/>
  <c r="BH10" i="16"/>
  <c r="BM18" i="11"/>
  <c r="BH17" i="11"/>
  <c r="BH20" i="11" s="1"/>
  <c r="BJ17" i="11"/>
  <c r="S17" i="17"/>
  <c r="L13" i="2"/>
  <c r="X16" i="16"/>
  <c r="X20" i="16" s="1"/>
  <c r="BV9" i="16"/>
  <c r="Q18" i="17"/>
  <c r="S10" i="17"/>
  <c r="Q16" i="17"/>
  <c r="Q20" i="17" s="1"/>
  <c r="AQ12" i="21"/>
  <c r="L17" i="2"/>
  <c r="V10" i="16"/>
  <c r="X13" i="16"/>
  <c r="BL19" i="11"/>
  <c r="BG10" i="11"/>
  <c r="V11" i="16"/>
  <c r="BF10" i="11"/>
  <c r="Q10" i="11" s="1"/>
  <c r="AP10" i="21"/>
  <c r="BI16" i="11"/>
  <c r="AP16" i="20"/>
  <c r="BL13" i="11"/>
  <c r="Q13" i="11" s="1"/>
  <c r="T16" i="16"/>
  <c r="BV13" i="16"/>
  <c r="BV16" i="16"/>
  <c r="BV10" i="16"/>
  <c r="BV14" i="16" s="1"/>
  <c r="AA16" i="16"/>
  <c r="BI9" i="11"/>
  <c r="BF16" i="11"/>
  <c r="BL17" i="11"/>
  <c r="X10" i="21"/>
  <c r="S19" i="14"/>
  <c r="V19" i="14" s="1"/>
  <c r="S13" i="17"/>
  <c r="I12" i="7"/>
  <c r="C14" i="6"/>
  <c r="AB21" i="21"/>
  <c r="H21" i="21"/>
  <c r="K19" i="12"/>
  <c r="I11" i="12"/>
  <c r="AV14" i="16"/>
  <c r="BG14" i="13"/>
  <c r="AK21" i="13"/>
  <c r="BC21" i="13"/>
  <c r="BD14" i="13"/>
  <c r="BM21" i="13"/>
  <c r="AD21" i="13"/>
  <c r="AI21" i="13"/>
  <c r="L21" i="13"/>
  <c r="N21" i="13"/>
  <c r="BD10" i="13"/>
  <c r="K16" i="12"/>
  <c r="K10" i="12"/>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P9"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I18" i="12" l="1"/>
  <c r="S20" i="14"/>
  <c r="BH14" i="11"/>
  <c r="BI20" i="11"/>
  <c r="Q12" i="11"/>
  <c r="P16" i="11"/>
  <c r="D21" i="14"/>
  <c r="P13" i="11"/>
  <c r="Q21" i="17"/>
  <c r="BK14" i="11"/>
  <c r="BK21" i="11"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<sst xmlns="http://schemas.openxmlformats.org/spreadsheetml/2006/main" count="2215" uniqueCount="978">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</sst>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Yoe9nZ80MXaCsvzPIZTwgjbQrpGnosGiTo0kuPULFByRpINUosCFutZhtZr4ZnHlYrBgEUYbRRawaWbRjsHRw==" saltValue="egPrAZf2XSOm+nLKeP6r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23.537993920972642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90</v>
      </c>
      <c r="D10" s="230">
        <f>IF(ISNUMBER(Datos!I10),Datos!I10," - ")</f>
        <v>90</v>
      </c>
      <c r="E10" s="231">
        <f>IF(ISNUMBER(Datos!J10),Datos!J10," - ")</f>
        <v>47</v>
      </c>
      <c r="F10" s="231">
        <f>IF(ISNUMBER(Datos!K10),Datos!K10," - ")</f>
        <v>43</v>
      </c>
      <c r="G10" s="1193" t="str">
        <f>IF(Datos!E10&lt;&gt;"",Datos!E10,Datos!D10)</f>
        <v>37</v>
      </c>
      <c r="H10" s="232">
        <f>IF(ISNUMBER(Datos!L10),Datos!L10," - ")</f>
        <v>94</v>
      </c>
      <c r="I10" s="1203" t="str">
        <f>IF(ISNUMBER(Datos!AS10/Datos!BM10),Datos!AS10/Datos!BM10," - ")</f>
        <v xml:space="preserve"> - </v>
      </c>
      <c r="J10" s="1204">
        <f>IF(ISNUMBER(Datos!BY10/Datos!CN10),Datos!BY10/Datos!CN10," - ")</f>
        <v>0</v>
      </c>
      <c r="K10" s="235">
        <f t="shared" ref="K10:K13" si="1">IF(ISNUMBER((E10-F10)/C10),(E10-F10)/C10," - ")</f>
        <v>4.4444444444444446E-2</v>
      </c>
      <c r="L10" s="1205">
        <f>IF(ISNUMBER(NºAsuntos!I10/NºAsuntos!G10),(NºAsuntos!I10/NºAsuntos!G10)*11," - ")</f>
        <v>24.046511627906977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18.195965417867434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90</v>
      </c>
      <c r="D14" s="1210">
        <f>SUBTOTAL(9,D9:D13)</f>
        <v>90</v>
      </c>
      <c r="E14" s="1211">
        <f>SUBTOTAL(9,E9:E13)</f>
        <v>47</v>
      </c>
      <c r="F14" s="1212">
        <f>SUBTOTAL(9,F9:F13)</f>
        <v>43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1893</v>
      </c>
      <c r="D16" s="230">
        <f>IF(ISNUMBER(IF(D_I="SI",Datos!I16,Datos!I16+Datos!AC16)),IF(D_I="SI",Datos!I16,Datos!I16+Datos!AC16)," - ")</f>
        <v>1796</v>
      </c>
      <c r="E16" s="231">
        <f>IF(ISNUMBER(IF(D_I="SI",Datos!J16,Datos!J16+Datos!AD16)),IF(D_I="SI",Datos!J16,Datos!J16+Datos!AD16)," - ")</f>
        <v>3515</v>
      </c>
      <c r="F16" s="231">
        <f>IF(ISNUMBER(IF(D_I="SI",Datos!K16,Datos!K16+Datos!AE16)),IF(D_I="SI",Datos!K16,Datos!K16+Datos!AE16)," - ")</f>
        <v>3174</v>
      </c>
      <c r="G16" s="1193" t="str">
        <f>IF(Datos!E16&lt;&gt;"",Datos!E16,Datos!D16)</f>
        <v>03</v>
      </c>
      <c r="H16" s="232">
        <f>IF(ISNUMBER(IF(D_I="SI",Datos!L16,Datos!L16+Datos!AF16)),IF(D_I="SI",Datos!L16,Datos!L16+Datos!AF16)," - ")</f>
        <v>2234</v>
      </c>
      <c r="I16" s="1203" t="str">
        <f>IF(ISNUMBER(Datos!AS16/Datos!BM16),Datos!AS16/Datos!BM16," - ")</f>
        <v xml:space="preserve"> - </v>
      </c>
      <c r="J16" s="1204">
        <f>IF(ISNUMBER(Datos!BY16/Datos!CN16),Datos!BY16/Datos!CN16," - ")</f>
        <v>0</v>
      </c>
      <c r="K16" s="235">
        <f t="shared" ref="K16:K19" si="3">IF(ISNUMBER((E16-F16)/C16),(E16-F16)/C16," - ")</f>
        <v>0.18013734812466983</v>
      </c>
      <c r="L16" s="1205">
        <f>IF(ISNUMBER(NºAsuntos!I16/NºAsuntos!G16),(NºAsuntos!I16/NºAsuntos!G16)*11," - ")</f>
        <v>7.7422810333963454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345</v>
      </c>
      <c r="D18" s="230">
        <f>IF(ISNUMBER(IF(D_I="SI",Datos!I18,Datos!I18+Datos!AC18)),IF(D_I="SI",Datos!I18,Datos!I18+Datos!AC18)," - ")</f>
        <v>345</v>
      </c>
      <c r="E18" s="231">
        <f>IF(ISNUMBER(IF(D_I="SI",Datos!J18,Datos!J18+Datos!AD18)),IF(D_I="SI",Datos!J18,Datos!J18+Datos!AD18)," - ")</f>
        <v>479</v>
      </c>
      <c r="F18" s="231">
        <f>IF(ISNUMBER(IF(D_I="SI",Datos!K18,Datos!K18+Datos!AE18)),IF(D_I="SI",Datos!K18,Datos!K18+Datos!AE18)," - ")</f>
        <v>518</v>
      </c>
      <c r="G18" s="1193" t="str">
        <f>IF(Datos!E18&lt;&gt;"",Datos!E18,Datos!D18)</f>
        <v>37</v>
      </c>
      <c r="H18" s="232">
        <f>IF(ISNUMBER(IF(D_I="SI",Datos!L18,Datos!L18+Datos!AF18)),IF(D_I="SI",Datos!L18,Datos!L18+Datos!AF18)," - ")</f>
        <v>306</v>
      </c>
      <c r="I18" s="1203" t="str">
        <f>IF(ISNUMBER(Datos!AS18/Datos!BM18),Datos!AS18/Datos!BM18," - ")</f>
        <v xml:space="preserve"> - </v>
      </c>
      <c r="J18" s="1204" t="str">
        <f>IF(ISNUMBER((Datos!BY18+Datos!BZ18)/Datos!CN18),(Datos!BY18+Datos!BZ18)/Datos!CN18," - ")</f>
        <v xml:space="preserve"> - </v>
      </c>
      <c r="K18" s="235">
        <f t="shared" si="3"/>
        <v>-0.11304347826086956</v>
      </c>
      <c r="L18" s="1205">
        <f>IF(ISNUMBER(NºAsuntos!I18/NºAsuntos!G18),(NºAsuntos!I18/NºAsuntos!G18)*11," - ")</f>
        <v>6.4980694980694986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2238</v>
      </c>
      <c r="D20" s="1210">
        <f>SUBTOTAL(9,D16:D19)</f>
        <v>2141</v>
      </c>
      <c r="E20" s="1211">
        <f>SUBTOTAL(9,E16:E19)</f>
        <v>3994</v>
      </c>
      <c r="F20" s="1211">
        <f>SUBTOTAL(9,F16:F19)</f>
        <v>3692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2328</v>
      </c>
      <c r="D21" s="1232">
        <f>SUBTOTAL(9,D9:D20)</f>
        <v>2231</v>
      </c>
      <c r="E21" s="1233">
        <f>SUBTOTAL(9,E9:E20)</f>
        <v>4041</v>
      </c>
      <c r="F21" s="1233">
        <f>SUBTOTAL(9,F9:F20)</f>
        <v>3735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N4Ogw7D37+uydg3Pet2CMervnFWOdcu3wVGhTZF2/fCYtfIasDth+SjTZ4QACdLIxx0EjrfAHoNIRmrWcTPPA==" saltValue="RjnfSzB5e0aU3So/FNPvM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T1mvGNblEjbS4HxwaIKEPNr32jRA6BIFG+417ZJyLfn9YPfHD1321GfecQg39yS4QpXHVjtLRqMjpn8Ovi+uA==" saltValue="IAigKAknqsSWLZY1+qas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9723</v>
      </c>
      <c r="J9" s="186">
        <v>3420</v>
      </c>
      <c r="K9" s="186">
        <v>4136</v>
      </c>
      <c r="L9" s="186">
        <v>9007</v>
      </c>
      <c r="M9" s="186">
        <v>1199</v>
      </c>
      <c r="N9" s="186">
        <v>2287</v>
      </c>
      <c r="O9" s="186">
        <v>936</v>
      </c>
      <c r="P9" s="186">
        <v>486</v>
      </c>
      <c r="Q9" s="186">
        <v>544</v>
      </c>
      <c r="R9" s="186">
        <v>12113</v>
      </c>
      <c r="S9" s="186">
        <v>11002</v>
      </c>
      <c r="T9" s="186">
        <v>3960</v>
      </c>
      <c r="U9" s="186">
        <v>4615</v>
      </c>
      <c r="V9" s="186">
        <v>10483</v>
      </c>
      <c r="W9" s="186">
        <v>1048</v>
      </c>
      <c r="X9" s="193">
        <v>2615</v>
      </c>
      <c r="Y9" s="196">
        <v>192</v>
      </c>
      <c r="Z9" s="186">
        <v>94</v>
      </c>
      <c r="AA9" s="186">
        <v>141</v>
      </c>
      <c r="AB9" s="186">
        <v>145</v>
      </c>
      <c r="AC9" s="186">
        <v>0</v>
      </c>
      <c r="AD9" s="186">
        <v>0</v>
      </c>
      <c r="AE9" s="186">
        <v>0</v>
      </c>
      <c r="AF9" s="193">
        <v>0</v>
      </c>
      <c r="AG9" s="196">
        <v>169</v>
      </c>
      <c r="AH9" s="186">
        <v>150</v>
      </c>
      <c r="AI9" s="186">
        <v>135</v>
      </c>
      <c r="AJ9" s="197">
        <v>184</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11171</v>
      </c>
      <c r="AZ9" s="125">
        <f>IF(ISNUMBER(IF(J_V="SI",T9,T9+AH9)),IF(J_V="SI",T9,T9+AH9)," - ")</f>
        <v>4110</v>
      </c>
      <c r="BA9" s="126">
        <f>IF(ISNUMBER(IF(J_V="SI",U9,U9+AI9)),IF(J_V="SI",U9,U9+AI9)," - ")</f>
        <v>4750</v>
      </c>
      <c r="BB9" s="126">
        <f>IF(ISNUMBER(IF(J_V="SI",V9,V9+AJ9)),IF(J_V="SI",V9,V9+AJ9)," - ")</f>
        <v>10667</v>
      </c>
      <c r="BC9" s="127">
        <f>IF(ISNUMBER(X9),X9," - ")</f>
        <v>2615</v>
      </c>
      <c r="BD9" s="128">
        <f>IF(ISNUMBER(BA9/AZ9),BA9/AZ9," - ")</f>
        <v>1.1557177615571776</v>
      </c>
      <c r="BE9" s="129">
        <f>IF(ISNUMBER(BB9/BA9),BB9/BA9, " - ")</f>
        <v>2.2456842105263157</v>
      </c>
      <c r="BF9" s="129">
        <f>IF(ISNUMBER(BC9/BA9),BC9/BA9, " - ")</f>
        <v>0.55052631578947364</v>
      </c>
      <c r="BG9" s="201">
        <f>IF(ISNUMBER((AY9+AZ9)/BA9),(AY9+AZ9)/BA9," - ")</f>
        <v>3.2170526315789472</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90</v>
      </c>
      <c r="J10" s="186">
        <v>47</v>
      </c>
      <c r="K10" s="186">
        <v>43</v>
      </c>
      <c r="L10" s="186">
        <v>94</v>
      </c>
      <c r="M10" s="186">
        <v>10</v>
      </c>
      <c r="N10" s="186">
        <v>16</v>
      </c>
      <c r="O10" s="186">
        <v>9</v>
      </c>
      <c r="P10" s="186">
        <v>7</v>
      </c>
      <c r="Q10" s="186">
        <v>21</v>
      </c>
      <c r="R10" s="186">
        <v>72</v>
      </c>
      <c r="S10" s="186">
        <v>88</v>
      </c>
      <c r="T10" s="186">
        <v>48</v>
      </c>
      <c r="U10" s="186">
        <v>47</v>
      </c>
      <c r="V10" s="186">
        <v>89</v>
      </c>
      <c r="W10" s="186">
        <v>11</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88</v>
      </c>
      <c r="AZ10" s="131">
        <f t="shared" si="0"/>
        <v>48</v>
      </c>
      <c r="BA10" s="131">
        <f t="shared" si="0"/>
        <v>47</v>
      </c>
      <c r="BB10" s="131">
        <f t="shared" si="0"/>
        <v>89</v>
      </c>
      <c r="BC10" s="127">
        <f t="shared" si="0"/>
        <v>11</v>
      </c>
      <c r="BD10" s="128">
        <f>IF(ISNUMBER(BA10/AZ10),BA10/AZ10," - ")</f>
        <v>0.97916666666666663</v>
      </c>
      <c r="BE10" s="129">
        <f>IF(ISNUMBER(BB10/BA10),BB10/BA10, " - ")</f>
        <v>1.8936170212765957</v>
      </c>
      <c r="BF10" s="129">
        <f>IF(ISNUMBER(BC10/BA10),BC10/BA10, " - ")</f>
        <v>0.23404255319148937</v>
      </c>
      <c r="BG10" s="201">
        <f>IF(ISNUMBER((AY10+AZ10)/BA10),(AY10+AZ10)/BA10," - ")</f>
        <v>2.8936170212765959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880</v>
      </c>
      <c r="J11" s="188">
        <v>501</v>
      </c>
      <c r="K11" s="188">
        <v>455</v>
      </c>
      <c r="L11" s="188">
        <v>926</v>
      </c>
      <c r="M11" s="188">
        <v>175</v>
      </c>
      <c r="N11" s="188">
        <v>387</v>
      </c>
      <c r="O11" s="186">
        <v>132</v>
      </c>
      <c r="P11" s="188">
        <v>64</v>
      </c>
      <c r="Q11" s="188">
        <v>72</v>
      </c>
      <c r="R11" s="188">
        <v>783</v>
      </c>
      <c r="S11" s="188">
        <v>1071</v>
      </c>
      <c r="T11" s="188">
        <v>521</v>
      </c>
      <c r="U11" s="188">
        <v>519</v>
      </c>
      <c r="V11" s="188">
        <v>896</v>
      </c>
      <c r="W11" s="188">
        <v>242</v>
      </c>
      <c r="X11" s="194">
        <v>301</v>
      </c>
      <c r="Y11" s="196">
        <v>176</v>
      </c>
      <c r="Z11" s="186">
        <v>285</v>
      </c>
      <c r="AA11" s="186">
        <v>239</v>
      </c>
      <c r="AB11" s="186">
        <v>222</v>
      </c>
      <c r="AC11" s="188">
        <v>0</v>
      </c>
      <c r="AD11" s="188">
        <v>0</v>
      </c>
      <c r="AE11" s="188">
        <v>0</v>
      </c>
      <c r="AF11" s="194">
        <v>0</v>
      </c>
      <c r="AG11" s="207">
        <v>214</v>
      </c>
      <c r="AH11" s="188">
        <v>268</v>
      </c>
      <c r="AI11" s="188">
        <v>232</v>
      </c>
      <c r="AJ11" s="208">
        <v>192</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1285</v>
      </c>
      <c r="AZ11" s="129">
        <f t="shared" si="1"/>
        <v>789</v>
      </c>
      <c r="BA11" s="129">
        <f t="shared" si="1"/>
        <v>751</v>
      </c>
      <c r="BB11" s="129">
        <f t="shared" si="1"/>
        <v>1088</v>
      </c>
      <c r="BC11" s="127">
        <f>IF(ISNUMBER(X11),X11," - ")</f>
        <v>301</v>
      </c>
      <c r="BD11" s="128">
        <f t="shared" ref="BD11:BD13" si="2">IF(ISNUMBER(BA11/AZ11),BA11/AZ11," - ")</f>
        <v>0.95183776932826358</v>
      </c>
      <c r="BE11" s="129">
        <f t="shared" ref="BE11:BE13" si="3">IF(ISNUMBER(BB11/BA11),BB11/BA11, " - ")</f>
        <v>1.4487350199733688</v>
      </c>
      <c r="BF11" s="129">
        <f t="shared" ref="BF11:BF13" si="4">IF(ISNUMBER(BC11/BA11),BC11/BA11, " - ")</f>
        <v>0.4007989347536618</v>
      </c>
      <c r="BG11" s="201">
        <f t="shared" ref="BG11:BG13" si="5">IF(ISNUMBER((AY11+AZ11)/BA11),(AY11+AZ11)/BA11," - ")</f>
        <v>2.7616511318242343</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10693</v>
      </c>
      <c r="J14" s="189">
        <f t="shared" si="7"/>
        <v>3968</v>
      </c>
      <c r="K14" s="189">
        <f t="shared" si="7"/>
        <v>4634</v>
      </c>
      <c r="L14" s="189">
        <f t="shared" si="7"/>
        <v>10027</v>
      </c>
      <c r="M14" s="189">
        <f t="shared" si="7"/>
        <v>1384</v>
      </c>
      <c r="N14" s="189">
        <f t="shared" si="7"/>
        <v>2690</v>
      </c>
      <c r="O14" s="189">
        <f t="shared" si="7"/>
        <v>1077</v>
      </c>
      <c r="P14" s="189">
        <f t="shared" si="7"/>
        <v>557</v>
      </c>
      <c r="Q14" s="189">
        <f t="shared" si="7"/>
        <v>637</v>
      </c>
      <c r="R14" s="189">
        <f t="shared" si="7"/>
        <v>12968</v>
      </c>
      <c r="S14" s="189">
        <f t="shared" si="7"/>
        <v>12161</v>
      </c>
      <c r="T14" s="189">
        <f t="shared" si="7"/>
        <v>4529</v>
      </c>
      <c r="U14" s="189">
        <f t="shared" si="7"/>
        <v>5181</v>
      </c>
      <c r="V14" s="189">
        <f t="shared" si="7"/>
        <v>11468</v>
      </c>
      <c r="W14" s="189">
        <f t="shared" si="7"/>
        <v>1301</v>
      </c>
      <c r="X14" s="189">
        <f t="shared" si="7"/>
        <v>2932</v>
      </c>
      <c r="Y14" s="189">
        <f t="shared" si="7"/>
        <v>368</v>
      </c>
      <c r="Z14" s="189">
        <f t="shared" si="7"/>
        <v>379</v>
      </c>
      <c r="AA14" s="189">
        <f t="shared" si="7"/>
        <v>380</v>
      </c>
      <c r="AB14" s="189">
        <f t="shared" si="7"/>
        <v>367</v>
      </c>
      <c r="AC14" s="189">
        <f t="shared" si="7"/>
        <v>0</v>
      </c>
      <c r="AD14" s="189">
        <f t="shared" si="7"/>
        <v>0</v>
      </c>
      <c r="AE14" s="189">
        <f t="shared" si="7"/>
        <v>0</v>
      </c>
      <c r="AF14" s="189">
        <f>SUBTOTAL(9,AF9:AF13)</f>
        <v>0</v>
      </c>
      <c r="AG14" s="189">
        <f t="shared" ref="AG14:AT14" si="8">SUBTOTAL(9,AG8:AG13)</f>
        <v>383</v>
      </c>
      <c r="AH14" s="189">
        <f t="shared" si="8"/>
        <v>418</v>
      </c>
      <c r="AI14" s="189">
        <f t="shared" si="8"/>
        <v>367</v>
      </c>
      <c r="AJ14" s="189">
        <f t="shared" si="8"/>
        <v>376</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12544</v>
      </c>
      <c r="AZ14" s="189">
        <f>SUBTOTAL(9,AZ8:AZ13)</f>
        <v>4947</v>
      </c>
      <c r="BA14" s="189">
        <f>SUBTOTAL(9,BA8:BA13)</f>
        <v>5548</v>
      </c>
      <c r="BB14" s="189">
        <f>SUBTOTAL(9,BB8:BB13)</f>
        <v>11844</v>
      </c>
      <c r="BC14" s="189">
        <f>SUBTOTAL(9,BC8:BC13)</f>
        <v>2927</v>
      </c>
      <c r="BD14" s="210">
        <f>IF(ISNUMBER(BA14/AZ14),BA14/AZ14," - ")</f>
        <v>1.1214877703658783</v>
      </c>
      <c r="BE14" s="211">
        <f>IF(ISNUMBER(BB14/BA14),BB14/BA14, " - ")</f>
        <v>2.1348233597692863</v>
      </c>
      <c r="BF14" s="211">
        <f>IF(ISNUMBER(BC14/BA14),BC14/BA14, " - ")</f>
        <v>0.52757750540735404</v>
      </c>
      <c r="BG14" s="212">
        <f>IF(ISNUMBER((AY14+AZ14)/BA14),(AY14+AZ14)/BA14," - ")</f>
        <v>3.1526676279740449</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1796</v>
      </c>
      <c r="J16" s="188">
        <v>3515</v>
      </c>
      <c r="K16" s="188">
        <v>3174</v>
      </c>
      <c r="L16" s="188">
        <v>2234</v>
      </c>
      <c r="M16" s="188">
        <v>200</v>
      </c>
      <c r="N16" s="188">
        <v>2171</v>
      </c>
      <c r="O16" s="186">
        <v>15</v>
      </c>
      <c r="P16" s="188">
        <v>83</v>
      </c>
      <c r="Q16" s="188">
        <v>74</v>
      </c>
      <c r="R16" s="188">
        <v>357</v>
      </c>
      <c r="S16" s="188">
        <v>1698</v>
      </c>
      <c r="T16" s="188">
        <v>3469</v>
      </c>
      <c r="U16" s="188">
        <v>3533</v>
      </c>
      <c r="V16" s="188">
        <v>1689</v>
      </c>
      <c r="W16" s="188">
        <v>318</v>
      </c>
      <c r="X16" s="194">
        <v>2028</v>
      </c>
      <c r="Y16" s="207">
        <v>0</v>
      </c>
      <c r="Z16" s="188">
        <v>0</v>
      </c>
      <c r="AA16" s="188">
        <v>0</v>
      </c>
      <c r="AB16" s="188">
        <v>0</v>
      </c>
      <c r="AC16" s="188">
        <v>0</v>
      </c>
      <c r="AD16" s="188">
        <v>118</v>
      </c>
      <c r="AE16" s="188">
        <v>118</v>
      </c>
      <c r="AF16" s="194">
        <v>0</v>
      </c>
      <c r="AG16" s="207">
        <v>0</v>
      </c>
      <c r="AH16" s="188">
        <v>0</v>
      </c>
      <c r="AI16" s="188">
        <v>0</v>
      </c>
      <c r="AJ16" s="208">
        <v>0</v>
      </c>
      <c r="AK16" s="187">
        <v>5</v>
      </c>
      <c r="AL16" s="188">
        <v>64</v>
      </c>
      <c r="AM16" s="188">
        <v>54</v>
      </c>
      <c r="AN16" s="194">
        <v>15</v>
      </c>
      <c r="AO16" s="264">
        <v>6</v>
      </c>
      <c r="AP16" s="160">
        <v>6</v>
      </c>
      <c r="AQ16" s="160">
        <v>6</v>
      </c>
      <c r="AR16" s="160">
        <v>6</v>
      </c>
      <c r="AS16" s="350" t="s">
        <v>588</v>
      </c>
      <c r="AT16" s="208" t="s">
        <v>360</v>
      </c>
      <c r="AU16" s="207"/>
      <c r="AV16" s="208"/>
      <c r="AW16" s="207"/>
      <c r="AX16" s="208"/>
      <c r="AY16" s="130">
        <f t="shared" ref="AY16:BB17" si="10">IF(ISNUMBER(IF(D_I="SI",S16,S16+AK16)),IF(D_I="SI",S16,S16+AK16)," - ")</f>
        <v>1698</v>
      </c>
      <c r="AZ16" s="131">
        <f t="shared" si="10"/>
        <v>3469</v>
      </c>
      <c r="BA16" s="131">
        <f t="shared" si="10"/>
        <v>3533</v>
      </c>
      <c r="BB16" s="131">
        <f t="shared" si="10"/>
        <v>1689</v>
      </c>
      <c r="BC16" s="127">
        <f>IF(ISNUMBER(W16),W16," - ")</f>
        <v>318</v>
      </c>
      <c r="BD16" s="128">
        <f>IF(ISNUMBER(BA16/AZ16),BA16/AZ16," - ")</f>
        <v>1.0184491207840876</v>
      </c>
      <c r="BE16" s="129">
        <f>IF(ISNUMBER(BB16/BA16),BB16/BA16, " - ")</f>
        <v>0.47806396829889614</v>
      </c>
      <c r="BF16" s="129">
        <f>IF(ISNUMBER(BC16/BA16),BC16/BA16, " - ")</f>
        <v>9.0008491367110102E-2</v>
      </c>
      <c r="BG16" s="201">
        <f t="shared" ref="BG16:BG19" si="11">IF(ISNUMBER((AY16+AZ16)/BA16),(AY16+AZ16)/BA16," - ")</f>
        <v>1.4624964619303709</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345</v>
      </c>
      <c r="J18" s="188">
        <v>479</v>
      </c>
      <c r="K18" s="188">
        <v>518</v>
      </c>
      <c r="L18" s="188">
        <v>306</v>
      </c>
      <c r="M18" s="188">
        <v>17</v>
      </c>
      <c r="N18" s="188">
        <v>322</v>
      </c>
      <c r="O18" s="188">
        <v>2</v>
      </c>
      <c r="P18" s="188">
        <v>4</v>
      </c>
      <c r="Q18" s="188">
        <v>6</v>
      </c>
      <c r="R18" s="188">
        <v>15</v>
      </c>
      <c r="S18" s="188">
        <v>234</v>
      </c>
      <c r="T18" s="188">
        <v>388</v>
      </c>
      <c r="U18" s="188">
        <v>412</v>
      </c>
      <c r="V18" s="188">
        <v>216</v>
      </c>
      <c r="W18" s="188">
        <v>18</v>
      </c>
      <c r="X18" s="194">
        <v>227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234</v>
      </c>
      <c r="AZ18" s="131">
        <f t="shared" si="15"/>
        <v>388</v>
      </c>
      <c r="BA18" s="131">
        <f t="shared" si="15"/>
        <v>412</v>
      </c>
      <c r="BB18" s="131">
        <f t="shared" si="15"/>
        <v>216</v>
      </c>
      <c r="BC18" s="127">
        <f>IF(ISNUMBER(W18),W18," - ")</f>
        <v>18</v>
      </c>
      <c r="BD18" s="128">
        <f>IF(ISNUMBER(BA18/AZ18),BA18/AZ18," - ")</f>
        <v>1.0618556701030928</v>
      </c>
      <c r="BE18" s="129">
        <f>IF(ISNUMBER(BB18/BA18),BB18/BA18, " - ")</f>
        <v>0.52427184466019416</v>
      </c>
      <c r="BF18" s="129">
        <f>IF(ISNUMBER(BC18/BA18),BC18/BA18, " - ")</f>
        <v>4.3689320388349516E-2</v>
      </c>
      <c r="BG18" s="201">
        <f>IF(ISNUMBER((AY18+AZ18)/BA18),(AY18+AZ18)/BA18," - ")</f>
        <v>1.5097087378640777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2141</v>
      </c>
      <c r="J20" s="189">
        <f t="shared" si="16"/>
        <v>3994</v>
      </c>
      <c r="K20" s="189">
        <f t="shared" si="16"/>
        <v>3692</v>
      </c>
      <c r="L20" s="189">
        <f t="shared" si="16"/>
        <v>2540</v>
      </c>
      <c r="M20" s="189">
        <f t="shared" si="16"/>
        <v>217</v>
      </c>
      <c r="N20" s="189">
        <f t="shared" si="16"/>
        <v>2493</v>
      </c>
      <c r="O20" s="189">
        <f t="shared" si="16"/>
        <v>17</v>
      </c>
      <c r="P20" s="189">
        <f t="shared" si="16"/>
        <v>87</v>
      </c>
      <c r="Q20" s="189">
        <f t="shared" si="16"/>
        <v>80</v>
      </c>
      <c r="R20" s="189">
        <f t="shared" si="16"/>
        <v>372</v>
      </c>
      <c r="S20" s="189">
        <f t="shared" si="16"/>
        <v>1932</v>
      </c>
      <c r="T20" s="189">
        <f t="shared" si="16"/>
        <v>3857</v>
      </c>
      <c r="U20" s="189">
        <f t="shared" si="16"/>
        <v>3945</v>
      </c>
      <c r="V20" s="189">
        <f t="shared" si="16"/>
        <v>1905</v>
      </c>
      <c r="W20" s="189">
        <f t="shared" si="16"/>
        <v>336</v>
      </c>
      <c r="X20" s="189">
        <f t="shared" si="16"/>
        <v>2255</v>
      </c>
      <c r="Y20" s="189">
        <f t="shared" si="16"/>
        <v>0</v>
      </c>
      <c r="Z20" s="189">
        <f t="shared" si="16"/>
        <v>0</v>
      </c>
      <c r="AA20" s="189">
        <f t="shared" si="16"/>
        <v>0</v>
      </c>
      <c r="AB20" s="189">
        <f t="shared" si="16"/>
        <v>0</v>
      </c>
      <c r="AC20" s="189">
        <f t="shared" si="16"/>
        <v>0</v>
      </c>
      <c r="AD20" s="189">
        <f t="shared" si="16"/>
        <v>118</v>
      </c>
      <c r="AE20" s="189">
        <f t="shared" si="16"/>
        <v>118</v>
      </c>
      <c r="AF20" s="189">
        <f t="shared" si="16"/>
        <v>0</v>
      </c>
      <c r="AG20" s="189">
        <f t="shared" si="16"/>
        <v>0</v>
      </c>
      <c r="AH20" s="189">
        <f t="shared" si="16"/>
        <v>0</v>
      </c>
      <c r="AI20" s="189">
        <f t="shared" si="16"/>
        <v>0</v>
      </c>
      <c r="AJ20" s="189">
        <f t="shared" si="16"/>
        <v>0</v>
      </c>
      <c r="AK20" s="189">
        <f t="shared" si="16"/>
        <v>5</v>
      </c>
      <c r="AL20" s="189">
        <f t="shared" si="16"/>
        <v>64</v>
      </c>
      <c r="AM20" s="189">
        <f t="shared" si="16"/>
        <v>54</v>
      </c>
      <c r="AN20" s="189">
        <f t="shared" si="16"/>
        <v>15</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1932</v>
      </c>
      <c r="AZ20" s="189">
        <f>SUBTOTAL(9,AZ15:AZ19)</f>
        <v>3857</v>
      </c>
      <c r="BA20" s="189">
        <f>SUBTOTAL(9,BA15:BA19)</f>
        <v>3945</v>
      </c>
      <c r="BB20" s="189">
        <f>SUBTOTAL(9,BB15:BB19)</f>
        <v>1905</v>
      </c>
      <c r="BC20" s="189">
        <f>SUBTOTAL(9,BC15:BC19)</f>
        <v>336</v>
      </c>
      <c r="BD20" s="210">
        <f>IF(ISNUMBER(BA20/AZ20),BA20/AZ20," - ")</f>
        <v>1.0228156598392533</v>
      </c>
      <c r="BE20" s="211">
        <f>IF(ISNUMBER(BB20/BA20),BB20/BA20, " - ")</f>
        <v>0.4828897338403042</v>
      </c>
      <c r="BF20" s="211">
        <f>IF(ISNUMBER(BC20/BA20),BC20/BA20, " - ")</f>
        <v>8.5171102661596956E-2</v>
      </c>
      <c r="BG20" s="212">
        <f>IF(ISNUMBER((AY20+AZ20)/BA20),(AY20+AZ20)/BA20," - ")</f>
        <v>1.467427122940431</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12834</v>
      </c>
      <c r="J21" s="136">
        <f t="shared" si="19"/>
        <v>7962</v>
      </c>
      <c r="K21" s="136">
        <f t="shared" si="19"/>
        <v>8326</v>
      </c>
      <c r="L21" s="136">
        <f t="shared" si="19"/>
        <v>12567</v>
      </c>
      <c r="M21" s="136">
        <f t="shared" si="19"/>
        <v>1601</v>
      </c>
      <c r="N21" s="136">
        <f t="shared" si="19"/>
        <v>5183</v>
      </c>
      <c r="O21" s="136">
        <f t="shared" si="19"/>
        <v>1094</v>
      </c>
      <c r="P21" s="136">
        <f t="shared" si="19"/>
        <v>644</v>
      </c>
      <c r="Q21" s="136">
        <f t="shared" si="19"/>
        <v>717</v>
      </c>
      <c r="R21" s="136">
        <f t="shared" si="19"/>
        <v>13340</v>
      </c>
      <c r="S21" s="136">
        <f t="shared" si="19"/>
        <v>14093</v>
      </c>
      <c r="T21" s="136">
        <f t="shared" si="19"/>
        <v>8386</v>
      </c>
      <c r="U21" s="136">
        <f t="shared" si="19"/>
        <v>9126</v>
      </c>
      <c r="V21" s="136">
        <f t="shared" si="19"/>
        <v>13373</v>
      </c>
      <c r="W21" s="136">
        <f t="shared" si="19"/>
        <v>1637</v>
      </c>
      <c r="X21" s="136">
        <f t="shared" si="19"/>
        <v>5187</v>
      </c>
      <c r="Y21" s="136">
        <f t="shared" si="19"/>
        <v>368</v>
      </c>
      <c r="Z21" s="136">
        <f t="shared" si="19"/>
        <v>379</v>
      </c>
      <c r="AA21" s="136">
        <f t="shared" si="19"/>
        <v>380</v>
      </c>
      <c r="AB21" s="136">
        <f t="shared" si="19"/>
        <v>367</v>
      </c>
      <c r="AC21" s="136">
        <f t="shared" si="19"/>
        <v>0</v>
      </c>
      <c r="AD21" s="136">
        <f t="shared" si="19"/>
        <v>118</v>
      </c>
      <c r="AE21" s="136">
        <f t="shared" si="19"/>
        <v>118</v>
      </c>
      <c r="AF21" s="136">
        <f t="shared" si="19"/>
        <v>0</v>
      </c>
      <c r="AG21" s="136">
        <f t="shared" si="19"/>
        <v>383</v>
      </c>
      <c r="AH21" s="136">
        <f t="shared" si="19"/>
        <v>418</v>
      </c>
      <c r="AI21" s="136">
        <f t="shared" si="19"/>
        <v>367</v>
      </c>
      <c r="AJ21" s="136">
        <f t="shared" si="19"/>
        <v>376</v>
      </c>
      <c r="AK21" s="136">
        <f t="shared" si="19"/>
        <v>5</v>
      </c>
      <c r="AL21" s="136">
        <f t="shared" si="19"/>
        <v>64</v>
      </c>
      <c r="AM21" s="136">
        <f t="shared" si="19"/>
        <v>54</v>
      </c>
      <c r="AN21" s="215">
        <f t="shared" si="19"/>
        <v>15</v>
      </c>
      <c r="AO21" s="216">
        <v>15</v>
      </c>
      <c r="AP21" s="216">
        <v>15</v>
      </c>
      <c r="AQ21" s="216">
        <v>15</v>
      </c>
      <c r="AR21" s="216">
        <v>15</v>
      </c>
      <c r="AS21" s="158">
        <f t="shared" si="19"/>
        <v>0</v>
      </c>
      <c r="AT21" s="158">
        <f t="shared" si="19"/>
        <v>0</v>
      </c>
      <c r="AU21" s="216"/>
      <c r="AV21" s="217"/>
      <c r="AW21" s="216"/>
      <c r="AX21" s="217"/>
      <c r="AY21" s="135">
        <f>SUBTOTAL(9,AY9:AY20)</f>
        <v>14476</v>
      </c>
      <c r="AZ21" s="136">
        <f>SUBTOTAL(9,AZ9:AZ20)</f>
        <v>8804</v>
      </c>
      <c r="BA21" s="136">
        <f>SUBTOTAL(9,BA9:BA20)</f>
        <v>9493</v>
      </c>
      <c r="BB21" s="136">
        <f>SUBTOTAL(9,BB9:BB20)</f>
        <v>13749</v>
      </c>
      <c r="BC21" s="137">
        <f>SUBTOTAL(9,BC9:BC20)</f>
        <v>3263</v>
      </c>
      <c r="BD21" s="218">
        <f>IF(ISNUMBER(BA21/AZ21),BA21/AZ21," - ")</f>
        <v>1.0782598818718765</v>
      </c>
      <c r="BE21" s="215">
        <f>IF(ISNUMBER(BB21/BA21),BB21/BA21, " - ")</f>
        <v>1.4483303486779733</v>
      </c>
      <c r="BF21" s="215">
        <f>IF(ISNUMBER(BC21/BA21),BC21/BA21, " - ")</f>
        <v>0.34372695670494047</v>
      </c>
      <c r="BG21" s="137">
        <f>IF(ISNUMBER((AY21+AZ21)/BA21),(AY21+AZ21)/BA21," - ")</f>
        <v>2.4523332982197408</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vmM41ycpKXe8yPZm5qwiYRPds/imNlDjjdEEomsIQ+cVBRW+BMZ79y5tzZo8Ysg06yHuh7wJir96AAZwp5f2g==" saltValue="fpeH4TguvFNgzSakMhok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Q0wyETCgOje+F8lRinzl10P6yHThxm5oiVyDnMBDDXjIQgO3U4JC3Tf73SmWFeJSOsUMURaB4Bl7hIQDFw8HA==" saltValue="PFXrvV1PeaQrwlldYdKI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MOSTOLES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94</v>
      </c>
      <c r="O9" s="504"/>
      <c r="P9" s="504"/>
      <c r="Q9" s="502">
        <f>IF(ISNUMBER(Datos!P9),Datos!P9,0)</f>
        <v>486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544</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145</v>
      </c>
      <c r="AI9" s="504" t="str">
        <f>IF(ISNUMBER(Datos!CD9),Datos!CD9,"-")</f>
        <v>-</v>
      </c>
      <c r="AJ9" s="504" t="str">
        <f>IF(ISNUMBER(Datos!EN9),Datos!EN9," - ")</f>
        <v xml:space="preserve"> - </v>
      </c>
      <c r="AK9" s="504"/>
      <c r="AL9" s="505"/>
      <c r="AM9" s="672">
        <f>IF(ISNUMBER(Datos!R9),Datos!R9," - ")</f>
        <v>12113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1199</v>
      </c>
      <c r="BD9" s="620">
        <f>IF(ISNUMBER(Datos!N9),Datos!N9," - ")</f>
        <v>2287</v>
      </c>
      <c r="BE9" s="620" t="str">
        <f>IF(ISNUMBER(Datos!BW9),Datos!BW9," - ")</f>
        <v xml:space="preserve"> - </v>
      </c>
      <c r="BF9" s="668" t="str">
        <f>IF(ISNUMBER(Datos!BX9),Datos!BX9," - ")</f>
        <v xml:space="preserve"> - </v>
      </c>
      <c r="BG9" s="669">
        <f>IF(ISNUMBER(IF(J_V="SI",Datos!K9/Datos!J9,(Datos!K9+Datos!AA9)/(Datos!J9+Datos!Z9))),IF(J_V="SI",Datos!K9/Datos!J9,(Datos!K9+Datos!AA9)/(Datos!J9+Datos!Z9))," - ")</f>
        <v>1.2171314741035857</v>
      </c>
      <c r="BH9" s="670">
        <f>IF(ISNUMBER(((IF(J_V="SI",Datos!L9/Datos!K9,(Datos!L9+Datos!AB9)/(Datos!K9+Datos!AA9)))*11)/factor_trimestre),((IF(J_V="SI",Datos!L9/Datos!K9,(Datos!L9+Datos!AB9)/(Datos!K9+Datos!AA9)))*11)/factor_trimestre," - ")</f>
        <v>6.4194528875379939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-4.7654260126530276E-3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90</v>
      </c>
      <c r="G10" s="498">
        <f>IF(ISNUMBER(Datos!I10),Datos!I10," - ")</f>
        <v>90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43</v>
      </c>
      <c r="AC10" s="502">
        <f>IF(ISNUMBER(Datos!Q10),Datos!Q10," - ")</f>
        <v>21</v>
      </c>
      <c r="AD10" s="504"/>
      <c r="AE10" s="517"/>
      <c r="AF10" s="506">
        <f>IF(ISNUMBER(Datos!L10),Datos!L10,"-")</f>
        <v>94</v>
      </c>
      <c r="AG10" s="504"/>
      <c r="AH10" s="504"/>
      <c r="AI10" s="504"/>
      <c r="AJ10" s="504"/>
      <c r="AK10" s="504"/>
      <c r="AL10" s="505"/>
      <c r="AM10" s="672">
        <f>IF(ISNUMBER(Datos!R10),Datos!R10," - ")</f>
        <v>72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16</v>
      </c>
      <c r="BE10" s="620" t="str">
        <f>IF(ISNUMBER(Datos!BW10),Datos!BW10," - ")</f>
        <v xml:space="preserve"> - </v>
      </c>
      <c r="BF10" s="668" t="str">
        <f>IF(ISNUMBER(Datos!BX10),Datos!BX10," - ")</f>
        <v xml:space="preserve"> - </v>
      </c>
      <c r="BG10" s="669">
        <f>IF(ISNUMBER(Datos!K10/Datos!J10),Datos!K10/Datos!J10," - ")</f>
        <v>0.91489361702127658</v>
      </c>
      <c r="BH10" s="670">
        <f>IF(ISNUMBER(((Datos!L10/Datos!K10)*11)/factor_trimestre),((Datos!L10/Datos!K10)*11)/factor_trimestre," - ")</f>
        <v>6.558139534883721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-0.16279069767441862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285</v>
      </c>
      <c r="O11" s="504"/>
      <c r="P11" s="504"/>
      <c r="Q11" s="502">
        <f>IF(ISNUMBER(Datos!P11),Datos!P11,0)</f>
        <v>64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72</v>
      </c>
      <c r="AD11" s="504"/>
      <c r="AE11" s="517"/>
      <c r="AF11" s="506" t="str">
        <f>IF(ISNUMBER(IF(J_V="SI",Datos!L11,Datos!L11+Datos!AB11)-IF(Monitorios="SI",Datos!CD11,0)),
                          IF(J_V="SI",Datos!L11,Datos!L11+Datos!AB11)-IF(Monitorios="SI",Datos!CD11,0),
                          " - ")</f>
        <v xml:space="preserve"> - </v>
      </c>
      <c r="AG11" s="504"/>
      <c r="AH11" s="504">
        <f>IF(ISNUMBER(Datos!AB11),Datos!AB11,"-")</f>
        <v>222</v>
      </c>
      <c r="AI11" s="504"/>
      <c r="AJ11" s="504"/>
      <c r="AK11" s="504"/>
      <c r="AL11" s="505"/>
      <c r="AM11" s="672">
        <f>IF(ISNUMBER(Datos!R11),Datos!R11," - ")</f>
        <v>783</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175</v>
      </c>
      <c r="BD11" s="620">
        <f>IF(ISNUMBER(Datos!N11),Datos!N11," - ")</f>
        <v>387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0.88295165394402031</v>
      </c>
      <c r="BH11" s="670">
        <f>IF(ISNUMBER(((IF(J_V="SI",Datos!L11/Datos!K11,(Datos!L11+Datos!AB11)/(Datos!K11+Datos!AA11)))*11)/factor_trimestre),((IF(J_V="SI",Datos!L11/Datos!K11,(Datos!L11+Datos!AB11)/(Datos!K11+Datos!AA11)))*11)/factor_trimestre," - ")</f>
        <v>4.9625360230547546</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-1.0113780025284451E-2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90</v>
      </c>
      <c r="G14" s="1045">
        <f t="shared" si="1"/>
        <v>90</v>
      </c>
      <c r="H14" s="1046">
        <f t="shared" si="1"/>
        <v>0</v>
      </c>
      <c r="I14" s="1045">
        <f t="shared" si="1"/>
        <v>0</v>
      </c>
      <c r="J14" s="1014">
        <f t="shared" si="1"/>
        <v>0</v>
      </c>
      <c r="K14" s="1014">
        <f t="shared" si="1"/>
        <v>0</v>
      </c>
      <c r="L14" s="1046">
        <f t="shared" si="1"/>
        <v>0</v>
      </c>
      <c r="M14" s="1046">
        <f t="shared" si="1"/>
        <v>0</v>
      </c>
      <c r="N14" s="1046">
        <f t="shared" si="1"/>
        <v>379</v>
      </c>
      <c r="O14" s="1047">
        <f t="shared" si="1"/>
        <v>0</v>
      </c>
      <c r="P14" s="1047">
        <f t="shared" si="1"/>
        <v>0</v>
      </c>
      <c r="Q14" s="1046">
        <f t="shared" si="1"/>
        <v>557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43</v>
      </c>
      <c r="AC14" s="1046">
        <f t="shared" si="2"/>
        <v>637</v>
      </c>
      <c r="AD14" s="1046">
        <f t="shared" si="2"/>
        <v>0</v>
      </c>
      <c r="AE14" s="1046">
        <f t="shared" si="2"/>
        <v>0</v>
      </c>
      <c r="AF14" s="1046">
        <f t="shared" si="2"/>
        <v>94</v>
      </c>
      <c r="AG14" s="1046">
        <f t="shared" si="2"/>
        <v>0</v>
      </c>
      <c r="AH14" s="1046">
        <f t="shared" si="2"/>
        <v>367</v>
      </c>
      <c r="AI14" s="1046">
        <f t="shared" si="2"/>
        <v>0</v>
      </c>
      <c r="AJ14" s="1046">
        <f t="shared" si="2"/>
        <v>0</v>
      </c>
      <c r="AK14" s="1046">
        <f t="shared" si="2"/>
        <v>0</v>
      </c>
      <c r="AL14" s="1046">
        <f t="shared" si="2"/>
        <v>0</v>
      </c>
      <c r="AM14" s="1046">
        <f t="shared" si="2"/>
        <v>12968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1384</v>
      </c>
      <c r="BD14" s="1046">
        <f t="shared" si="2"/>
        <v>2690</v>
      </c>
      <c r="BE14" s="1046">
        <f t="shared" si="2"/>
        <v>0</v>
      </c>
      <c r="BF14" s="1046">
        <f t="shared" si="2"/>
        <v>0</v>
      </c>
      <c r="BG14" s="1046">
        <f>IF(ISNUMBER(Datos!K14/Datos!J14),Datos!K14/Datos!J14," - ")</f>
        <v>1.1678427419354838</v>
      </c>
      <c r="BH14" s="1050">
        <f>IF(ISNUMBER(((Datos!L14/Datos!K14)*11)/factor_trimestre),((Datos!L14/Datos!K14)*11)/factor_trimestre," - ")</f>
        <v>6.4913681484678465</v>
      </c>
      <c r="BI14" s="1046">
        <f>IF(ISNUMBER('Resol  Asuntos'!D14/NºAsuntos!G14),'Resol  Asuntos'!D14/NºAsuntos!G14," - ")</f>
        <v>0.27602712405265256</v>
      </c>
      <c r="BJ14" s="1046" t="str">
        <f>IF(ISNUMBER(Datos!CI14/Datos!CJ14),Datos!CI14/Datos!CJ14," - ")</f>
        <v xml:space="preserve"> - </v>
      </c>
      <c r="BK14" s="1046">
        <f>SUBTOTAL(9,BK8:BK13)</f>
        <v>0</v>
      </c>
      <c r="BL14" s="1046">
        <f>IF(ISNUMBER((I14-AB14+L14)/(F14)),(I14-AB14+L14)/(F14)," - ")</f>
        <v>-0.4777777777777778</v>
      </c>
      <c r="BM14" s="1051">
        <f>SUBTOTAL(9,BM9:BM13)</f>
        <v>-0.17766990371235611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1893</v>
      </c>
      <c r="G16" s="651">
        <f>IF(ISNUMBER(IF(D_I="SI",Datos!I16,Datos!I16+Datos!AC16)),IF(D_I="SI",Datos!I16,Datos!I16+Datos!AC16)," - ")</f>
        <v>1796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3174</v>
      </c>
      <c r="AC16" s="231">
        <f>IF(ISNUMBER(Datos!Q16),Datos!Q16," - ")</f>
        <v>74</v>
      </c>
      <c r="AD16" s="344"/>
      <c r="AE16" s="516"/>
      <c r="AF16" s="649">
        <f>IF(ISNUMBER(IF(D_I="SI",Datos!L16,Datos!L16+Datos!AF16)),IF(D_I="SI",Datos!L16,Datos!L16+Datos!AF16)," - ")</f>
        <v>2234</v>
      </c>
      <c r="AG16" s="344"/>
      <c r="AH16" s="344"/>
      <c r="AI16" s="344"/>
      <c r="AJ16" s="504"/>
      <c r="AK16" s="344"/>
      <c r="AL16" s="500"/>
      <c r="AM16" s="345">
        <f>IF(ISNUMBER(Datos!R16),Datos!R16," - ")</f>
        <v>357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200</v>
      </c>
      <c r="BD16" s="234">
        <f>IF(ISNUMBER(Datos!N16),Datos!N16," - ")</f>
        <v>2171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0.90298719772403979</v>
      </c>
      <c r="BH16" s="670">
        <f>IF(ISNUMBER(((IF(D_I="SI",Datos!L16/Datos!K16,(Datos!L16+Datos!AF16)/(Datos!K16+Datos!AE16)))*11)/factor_trimestre),((IF(D_I="SI",Datos!L16/Datos!K16,(Datos!L16+Datos!AF16)/(Datos!K16+Datos!AE16)))*11)/factor_trimestre," - ")</f>
        <v>2.1115311909262759</v>
      </c>
      <c r="BI16" s="248">
        <f>IF(ISNUMBER('Resol  Asuntos'!D16/NºAsuntos!G16),'Resol  Asuntos'!D16/NºAsuntos!G16," - ")</f>
        <v>6.3011972274732195E-2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518</v>
      </c>
      <c r="AC18" s="502">
        <f>IF(ISNUMBER(Datos!Q18),Datos!Q18," - ")</f>
        <v>6</v>
      </c>
      <c r="AD18" s="504"/>
      <c r="AE18" s="516"/>
      <c r="AF18" s="506">
        <f>IF(ISNUMBER(Datos!L18),Datos!L18,"-")</f>
        <v>306</v>
      </c>
      <c r="AG18" s="504"/>
      <c r="AH18" s="504"/>
      <c r="AI18" s="504"/>
      <c r="AJ18" s="504"/>
      <c r="AK18" s="504"/>
      <c r="AL18" s="505"/>
      <c r="AM18" s="672">
        <f>IF(ISNUMBER(Datos!R18),Datos!R18," - ")</f>
        <v>15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17</v>
      </c>
      <c r="BD18" s="620">
        <f>IF(ISNUMBER(Datos!N18),Datos!N18," - ")</f>
        <v>322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1.081419624217119</v>
      </c>
      <c r="BH18" s="670">
        <f>IF(ISNUMBER(((IF(D_I="SI",Datos!L18/Datos!K18,(Datos!L18+Datos!AF18)/(Datos!K18+Datos!AE18)))*11)/factor_trimestre),((IF(D_I="SI",Datos!L18/Datos!K18,(Datos!L18+Datos!AF18)/(Datos!K18+Datos!AE18)))*11)/factor_trimestre," - ")</f>
        <v>1.7722007722007724</v>
      </c>
      <c r="BI18" s="669">
        <f>IF(ISNUMBER('Resol  Asuntos'!D18/NºAsuntos!G18),'Resol  Asuntos'!D18/NºAsuntos!G18," - ")</f>
        <v>3.2818532818532815E-2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1893</v>
      </c>
      <c r="G20" s="1045">
        <f>SUBTOTAL(9,G16:G19)</f>
        <v>2141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3692</v>
      </c>
      <c r="AC20" s="1046">
        <f t="shared" si="5"/>
        <v>80</v>
      </c>
      <c r="AD20" s="1046">
        <f t="shared" si="5"/>
        <v>0</v>
      </c>
      <c r="AE20" s="1046">
        <f t="shared" si="5"/>
        <v>0</v>
      </c>
      <c r="AF20" s="1046">
        <f t="shared" si="5"/>
        <v>2540</v>
      </c>
      <c r="AG20" s="1046">
        <f t="shared" si="5"/>
        <v>0</v>
      </c>
      <c r="AH20" s="1046">
        <f t="shared" si="5"/>
        <v>0</v>
      </c>
      <c r="AI20" s="1046">
        <f t="shared" si="5"/>
        <v>0</v>
      </c>
      <c r="AJ20" s="1046">
        <f t="shared" si="5"/>
        <v>0</v>
      </c>
      <c r="AK20" s="1046">
        <f t="shared" si="5"/>
        <v>0</v>
      </c>
      <c r="AL20" s="1046">
        <f t="shared" si="5"/>
        <v>0</v>
      </c>
      <c r="AM20" s="1046">
        <f t="shared" si="5"/>
        <v>372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217</v>
      </c>
      <c r="BD20" s="1046">
        <f t="shared" si="5"/>
        <v>2493</v>
      </c>
      <c r="BE20" s="1046">
        <f t="shared" si="5"/>
        <v>0</v>
      </c>
      <c r="BF20" s="1046">
        <f t="shared" si="5"/>
        <v>0</v>
      </c>
      <c r="BG20" s="1046">
        <f>IF(ISNUMBER(Datos!K20/Datos!J20),Datos!K20/Datos!J20," - ")</f>
        <v>0.92438657986980466</v>
      </c>
      <c r="BH20" s="1050">
        <f>IF(ISNUMBER(((Datos!L20/Datos!K20)*11)/factor_trimestre),((Datos!L20/Datos!K20)*11)/factor_trimestre," - ")</f>
        <v>2.0639219934994584</v>
      </c>
      <c r="BI20" s="1046">
        <f>SUBTOTAL(9,BI16:BI19)</f>
        <v>9.5830505093265017E-2</v>
      </c>
      <c r="BJ20" s="1046">
        <f>SUBTOTAL(9,BJ16:BJ19)</f>
        <v>0</v>
      </c>
      <c r="BK20" s="1046">
        <f>SUBTOTAL(9,BK16:BK19)</f>
        <v>0</v>
      </c>
      <c r="BL20" s="1046">
        <f>IF(ISNUMBER((I20-AB20+L20)/(F20)),(I20-AB20+L20)/(F20)," - ")</f>
        <v>-1.9503433703116746</v>
      </c>
      <c r="BM20" s="1052">
        <f>IF(ISNUMBER((Datos!P20-Datos!Q20)/(Datos!R20-Datos!P20+Datos!Q20)),(Datos!P20-Datos!Q20)/(Datos!R20-Datos!P20+Datos!Q20)," - ")</f>
        <v>1.9178082191780823E-2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1983</v>
      </c>
      <c r="G21" s="967">
        <f t="shared" si="7"/>
        <v>2231</v>
      </c>
      <c r="H21" s="969">
        <f t="shared" si="7"/>
        <v>0</v>
      </c>
      <c r="I21" s="967">
        <f t="shared" si="7"/>
        <v>0</v>
      </c>
      <c r="J21" s="969">
        <f t="shared" si="7"/>
        <v>0</v>
      </c>
      <c r="K21" s="969">
        <f t="shared" si="7"/>
        <v>0</v>
      </c>
      <c r="L21" s="1028">
        <f t="shared" si="7"/>
        <v>0</v>
      </c>
      <c r="M21" s="1028">
        <f t="shared" si="7"/>
        <v>0</v>
      </c>
      <c r="N21" s="1028">
        <f t="shared" si="7"/>
        <v>379</v>
      </c>
      <c r="O21" s="1028">
        <f t="shared" si="7"/>
        <v>0</v>
      </c>
      <c r="P21" s="1028">
        <f t="shared" si="7"/>
        <v>0</v>
      </c>
      <c r="Q21" s="969">
        <f t="shared" si="7"/>
        <v>644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3735</v>
      </c>
      <c r="AC21" s="968">
        <f t="shared" si="8"/>
        <v>717</v>
      </c>
      <c r="AD21" s="968">
        <f t="shared" si="8"/>
        <v>0</v>
      </c>
      <c r="AE21" s="968">
        <f t="shared" si="8"/>
        <v>0</v>
      </c>
      <c r="AF21" s="975">
        <f t="shared" si="8"/>
        <v>2634</v>
      </c>
      <c r="AG21" s="975">
        <f t="shared" si="8"/>
        <v>0</v>
      </c>
      <c r="AH21" s="975">
        <f t="shared" si="8"/>
        <v>367</v>
      </c>
      <c r="AI21" s="975">
        <f t="shared" si="8"/>
        <v>0</v>
      </c>
      <c r="AJ21" s="968">
        <f t="shared" si="8"/>
        <v>0</v>
      </c>
      <c r="AK21" s="975">
        <f t="shared" si="8"/>
        <v>0</v>
      </c>
      <c r="AL21" s="975">
        <f t="shared" si="8"/>
        <v>0</v>
      </c>
      <c r="AM21" s="975">
        <f t="shared" si="8"/>
        <v>13340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1601</v>
      </c>
      <c r="BD21" s="967">
        <f t="shared" si="8"/>
        <v>5183</v>
      </c>
      <c r="BE21" s="967">
        <f t="shared" si="8"/>
        <v>0</v>
      </c>
      <c r="BF21" s="977">
        <f t="shared" si="8"/>
        <v>0</v>
      </c>
      <c r="BG21" s="1062">
        <f>IF(ISNUMBER(Datos!K21/Datos!J21),Datos!K21/Datos!J21," - ")</f>
        <v>1.0457171564933434</v>
      </c>
      <c r="BH21" s="1062">
        <f>IF(ISNUMBER(((Datos!L21/Datos!K21)*11)/factor_trimestre),((Datos!L21/Datos!K21)*11)/factor_trimestre," - ")</f>
        <v>4.5281047321643051</v>
      </c>
      <c r="BI21" s="960">
        <f>IF(ISNUMBER(Datos!J21/Datos!I21),Datos!J21/Datos!I21," - ")</f>
        <v>0.62038335670874245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-1.8835098335854765</v>
      </c>
      <c r="BM21" s="1036">
        <f>IF(ISNUMBER((Datos!P21-Datos!Q21+R21)/(Datos!R21-Datos!P21+Datos!Q21-R21)),(Datos!P21-Datos!Q21+R21)/(Datos!R21-Datos!P21+Datos!Q21-R21)," - ")</f>
        <v>-5.4424811749794978E-3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892.4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3.3898243451407759</v>
      </c>
      <c r="F23" s="600">
        <f>IF(ISNUMBER(STDEV(F8:F20)),STDEV(F8:F20),"-")</f>
        <v>1040.9625353488952</v>
      </c>
      <c r="G23" s="601">
        <f>IF(ISNUMBER(STDEV(G8:G20)),STDEV(G8:G20),"-")</f>
        <v>995.34330760798309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1790.0406419967117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578.28391445230932</v>
      </c>
      <c r="BD23" s="600"/>
      <c r="BE23" s="600">
        <f>IF(ISNUMBER(STDEV(BE8:BE20)),STDEV(BE8:BE20),"-")</f>
        <v>0</v>
      </c>
      <c r="BF23" s="605">
        <f>IF(ISNUMBER(STDEV(BF8:BF20)),STDEV(BF8:BF20),"-")</f>
        <v>0</v>
      </c>
      <c r="BG23" s="915">
        <f>IF(ISNUMBER(STDEV(BG8:BG20)),STDEV(BG8:BG20),"-")</f>
        <v>0.13953477126439437</v>
      </c>
      <c r="BH23" s="919">
        <f>IF(ISNUMBER(STDEV(BH8:BH20)),STDEV(BH8:BH20),"-")</f>
        <v>2.2730449626672855</v>
      </c>
      <c r="BI23" s="254">
        <f>IF(ISNUMBER(STDEV(BI8:BI20)),STDEV(BI8:BI20),"-")</f>
        <v>0.10914665354236253</v>
      </c>
      <c r="BJ23" s="235" t="str">
        <f>IF(ISNUMBER(BL23/BM23),BL23/BM23," - ")</f>
        <v xml:space="preserve"> - </v>
      </c>
      <c r="BK23" s="627"/>
      <c r="BL23" s="608">
        <f>IF(ISNUMBER(STDEV(BL8:BL20)),STDEV(BL8:BL20),"-")</f>
        <v>1.041261116222705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FOWwxiG7jLjhxryjg+vOZPd7VuEHwO919DgZ5P98zW46WirOOF5nwBbGmr4UN7IXkVdetqR40/JwTA4DnMANw==" saltValue="1TyN8QJ5JyZqTURePMMg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MOSTOLES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486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544</v>
      </c>
      <c r="AA9" s="506" t="str">
        <f>IF(ISNUMBER(IF(J_V="SI",Datos!L9,Datos!L9+Datos!AB9)-IF(Monitorios="SI",Datos!CD9,0)),
                          IF(J_V="SI",Datos!L9,Datos!L9+Datos!AB9)-IF(Monitorios="SI",Datos!CD9,0),
                          " - ")</f>
        <v xml:space="preserve"> - </v>
      </c>
      <c r="AB9" s="504"/>
      <c r="AC9" s="504"/>
      <c r="AD9" s="517"/>
      <c r="AE9" s="517">
        <f>IF(ISNUMBER(Datos!R9),Datos!R9," - ")</f>
        <v>12113</v>
      </c>
      <c r="AF9" s="620" t="str">
        <f>IF(ISNUMBER(Datos!BV9),Datos!BV9," - ")</f>
        <v xml:space="preserve"> - </v>
      </c>
      <c r="AG9" s="507" t="str">
        <f>IF(ISNUMBER(Datos!DV9),Datos!DV9," - ")</f>
        <v xml:space="preserve"> - </v>
      </c>
      <c r="AH9" s="508"/>
      <c r="AI9" s="509"/>
      <c r="AJ9" s="507">
        <f>IF(ISNUMBER(Datos!M9),Datos!M9," - ")</f>
        <v>1199</v>
      </c>
      <c r="AK9" s="620">
        <f>IF(ISNUMBER(Datos!N9),Datos!N9," - ")</f>
        <v>2287</v>
      </c>
      <c r="AL9" s="620" t="str">
        <f>IF(ISNUMBER(Datos!BW9),Datos!BW9," - ")</f>
        <v xml:space="preserve"> - </v>
      </c>
      <c r="AM9" s="668" t="str">
        <f>IF(ISNUMBER(Datos!BX9),Datos!BX9," - ")</f>
        <v xml:space="preserve"> - </v>
      </c>
      <c r="AN9" s="669"/>
      <c r="AO9" s="670">
        <f>IF(ISNUMBER(((NºAsuntos!I9/NºAsuntos!G9)*11)/factor_trimestre),((NºAsuntos!I9/NºAsuntos!G9)*11)/factor_trimestre," - ")</f>
        <v>6.4194528875379939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-4.7654260126530276E-3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90</v>
      </c>
      <c r="G10" s="507">
        <f>IF(ISNUMBER(Datos!I10),Datos!I10," - ")</f>
        <v>90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43</v>
      </c>
      <c r="Z10" s="704">
        <f>IF(ISNUMBER(Datos!Q10),Datos!Q10," - ")</f>
        <v>21</v>
      </c>
      <c r="AA10" s="506">
        <f>IF(ISNUMBER(Datos!L10),Datos!L10,"-")</f>
        <v>94</v>
      </c>
      <c r="AB10" s="504"/>
      <c r="AC10" s="504"/>
      <c r="AD10" s="517"/>
      <c r="AE10" s="517">
        <f>IF(ISNUMBER(Datos!R10),Datos!R10," - ")</f>
        <v>72</v>
      </c>
      <c r="AF10" s="620" t="str">
        <f>IF(ISNUMBER(Datos!BV10),Datos!BV10," - ")</f>
        <v xml:space="preserve"> - </v>
      </c>
      <c r="AG10" s="507" t="str">
        <f>IF(ISNUMBER(Datos!DV10),Datos!DV10," - ")</f>
        <v xml:space="preserve"> - </v>
      </c>
      <c r="AH10" s="508"/>
      <c r="AI10" s="509"/>
      <c r="AJ10" s="507">
        <f>IF(ISNUMBER(Datos!M10),Datos!M10," - ")</f>
        <v>10</v>
      </c>
      <c r="AK10" s="620">
        <f>IF(ISNUMBER(Datos!N10),Datos!N10," - ")</f>
        <v>16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6.558139534883721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-0.16279069767441862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72</v>
      </c>
      <c r="AA11" s="506" t="str">
        <f>IF(ISNUMBER(IF(J_V="SI",Datos!L11,Datos!L11+Datos!AB11)-IF(Monitorios="SI",Datos!CD11,0)),
                          IF(J_V="SI",Datos!L11,Datos!L11+Datos!AB11)-IF(Monitorios="SI",Datos!CD11,0),
                          " - ")</f>
        <v xml:space="preserve"> - </v>
      </c>
      <c r="AB11" s="504"/>
      <c r="AC11" s="504"/>
      <c r="AD11" s="517"/>
      <c r="AE11" s="517">
        <f>IF(ISNUMBER(Datos!R11),Datos!R11," - ")</f>
        <v>783</v>
      </c>
      <c r="AF11" s="620" t="str">
        <f>IF(ISNUMBER(Datos!BV11),Datos!BV11," - ")</f>
        <v xml:space="preserve"> - </v>
      </c>
      <c r="AG11" s="507" t="str">
        <f>IF(ISNUMBER(Datos!DV11),Datos!DV11," - ")</f>
        <v xml:space="preserve"> - </v>
      </c>
      <c r="AH11" s="508"/>
      <c r="AI11" s="509"/>
      <c r="AJ11" s="507">
        <f>IF(ISNUMBER(Datos!M11),Datos!M11," - ")</f>
        <v>175</v>
      </c>
      <c r="AK11" s="620">
        <f>IF(ISNUMBER(Datos!N11),Datos!N11," - ")</f>
        <v>387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4.9625360230547546</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-1.0113780025284451E-2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90</v>
      </c>
      <c r="G14" s="1045">
        <f>SUBTOTAL(9,G8:G13)</f>
        <v>90</v>
      </c>
      <c r="H14" s="1055"/>
      <c r="I14" s="1045">
        <f t="shared" ref="I14:N14" si="1">SUBTOTAL(9,I8:I13)</f>
        <v>0</v>
      </c>
      <c r="J14" s="1014">
        <f t="shared" si="1"/>
        <v>0</v>
      </c>
      <c r="K14" s="1055">
        <f t="shared" si="1"/>
        <v>0</v>
      </c>
      <c r="L14" s="1055">
        <f t="shared" si="1"/>
        <v>0</v>
      </c>
      <c r="M14" s="1055">
        <f t="shared" si="1"/>
        <v>0</v>
      </c>
      <c r="N14" s="1055">
        <f t="shared" si="1"/>
        <v>557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43</v>
      </c>
      <c r="Z14" s="1054">
        <f t="shared" si="3"/>
        <v>637</v>
      </c>
      <c r="AA14" s="1047">
        <f t="shared" si="3"/>
        <v>94</v>
      </c>
      <c r="AB14" s="1047">
        <f t="shared" si="3"/>
        <v>0</v>
      </c>
      <c r="AC14" s="1047">
        <f t="shared" si="3"/>
        <v>0</v>
      </c>
      <c r="AD14" s="1047">
        <f t="shared" si="3"/>
        <v>0</v>
      </c>
      <c r="AE14" s="1047">
        <f t="shared" si="3"/>
        <v>12968</v>
      </c>
      <c r="AF14" s="1055">
        <f t="shared" si="3"/>
        <v>0</v>
      </c>
      <c r="AG14" s="1055">
        <f t="shared" si="3"/>
        <v>0</v>
      </c>
      <c r="AH14" s="1055">
        <f t="shared" si="3"/>
        <v>0</v>
      </c>
      <c r="AI14" s="1055">
        <f t="shared" si="3"/>
        <v>0</v>
      </c>
      <c r="AJ14" s="1055">
        <f t="shared" si="3"/>
        <v>1384</v>
      </c>
      <c r="AK14" s="1055">
        <f t="shared" si="3"/>
        <v>2690</v>
      </c>
      <c r="AL14" s="1055">
        <f t="shared" si="3"/>
        <v>0</v>
      </c>
      <c r="AM14" s="1055">
        <f t="shared" si="3"/>
        <v>0</v>
      </c>
      <c r="AN14" s="1055">
        <f t="shared" si="3"/>
        <v>0</v>
      </c>
      <c r="AO14" s="1051">
        <f>IF(ISNUMBER(((NºAsuntos!I14/NºAsuntos!G14)*11)/factor_trimestre),((NºAsuntos!I14/NºAsuntos!G14)*11)/factor_trimestre," - ")</f>
        <v>6.2189868368568009</v>
      </c>
      <c r="AP14" s="1057" t="str">
        <f>IF(ISNUMBER(Datos!CI14/Datos!CJ14),Datos!CI14/Datos!CJ14," - ")</f>
        <v xml:space="preserve"> - </v>
      </c>
      <c r="AQ14" s="1075">
        <f t="shared" ref="AQ14:AV14" si="4">SUBTOTAL(9,AQ9:AQ13)</f>
        <v>0</v>
      </c>
      <c r="AR14" s="1075">
        <f t="shared" si="4"/>
        <v>-0.17766990371235611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1893</v>
      </c>
      <c r="G16" s="507">
        <f>IF(ISNUMBER(IF(D_I="SI",Datos!I16,Datos!I16+Datos!AC16)),IF(D_I="SI",Datos!I16,Datos!I16+Datos!AC16)," - ")</f>
        <v>1796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3174</v>
      </c>
      <c r="Z16" s="704">
        <f>IF(ISNUMBER(Datos!Q16),Datos!Q16," - ")</f>
        <v>74</v>
      </c>
      <c r="AA16" s="506">
        <f>IF(ISNUMBER(IF(D_I="SI",Datos!L16,Datos!L16+Datos!AF16)),IF(D_I="SI",Datos!L16,Datos!L16+Datos!AF16)," - ")</f>
        <v>2234</v>
      </c>
      <c r="AB16" s="504"/>
      <c r="AC16" s="504"/>
      <c r="AD16" s="517"/>
      <c r="AE16" s="517">
        <f>IF(ISNUMBER(Datos!R16),Datos!R16," - ")</f>
        <v>357</v>
      </c>
      <c r="AF16" s="620" t="str">
        <f>IF(ISNUMBER(Datos!BV16),Datos!BV16," - ")</f>
        <v xml:space="preserve"> - </v>
      </c>
      <c r="AG16" s="507"/>
      <c r="AH16" s="508"/>
      <c r="AI16" s="509"/>
      <c r="AJ16" s="507">
        <f>IF(ISNUMBER(Datos!M16),Datos!M16," - ")</f>
        <v>200</v>
      </c>
      <c r="AK16" s="620">
        <f>IF(ISNUMBER(Datos!N16),Datos!N16," - ")</f>
        <v>2171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2.1115311909262759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518</v>
      </c>
      <c r="Z18" s="704">
        <f>IF(ISNUMBER(Datos!Q18),Datos!Q18," - ")</f>
        <v>6</v>
      </c>
      <c r="AA18" s="506">
        <f>IF(ISNUMBER(Datos!L18),Datos!L18,"-")</f>
        <v>306</v>
      </c>
      <c r="AB18" s="504"/>
      <c r="AC18" s="504"/>
      <c r="AD18" s="517"/>
      <c r="AE18" s="517">
        <f>IF(ISNUMBER(Datos!R18),Datos!R18," - ")</f>
        <v>15</v>
      </c>
      <c r="AF18" s="620" t="str">
        <f>IF(ISNUMBER(Datos!BV18),Datos!BV18," - ")</f>
        <v xml:space="preserve"> - </v>
      </c>
      <c r="AG18" s="507" t="str">
        <f>IF(ISNUMBER(Datos!DV18),Datos!DV18," - ")</f>
        <v xml:space="preserve"> - </v>
      </c>
      <c r="AH18" s="508"/>
      <c r="AI18" s="509"/>
      <c r="AJ18" s="507">
        <f>IF(ISNUMBER(Datos!M18),Datos!M18," - ")</f>
        <v>17</v>
      </c>
      <c r="AK18" s="620">
        <f>IF(ISNUMBER(Datos!N18),Datos!N18," - ")</f>
        <v>322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1.7722007722007724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1893</v>
      </c>
      <c r="G20" s="1045">
        <f>SUBTOTAL(9,G16:G19)</f>
        <v>2141</v>
      </c>
      <c r="H20" s="1079">
        <f>SUBTOTAL(9,H16:H19)</f>
        <v>0</v>
      </c>
      <c r="I20" s="1058">
        <f>SUBTOTAL(9,I16:I19)</f>
        <v>0</v>
      </c>
      <c r="J20" s="1014">
        <f>SUBTOTAL(9,J15:J19)</f>
        <v>0</v>
      </c>
      <c r="K20" s="1079">
        <f t="shared" ref="K20:S20" si="5">SUBTOTAL(9,K16:K19)</f>
        <v>0</v>
      </c>
      <c r="L20" s="1079">
        <f t="shared" si="5"/>
        <v>0</v>
      </c>
      <c r="M20" s="1079">
        <f t="shared" si="5"/>
        <v>0</v>
      </c>
      <c r="N20" s="1079">
        <f t="shared" si="5"/>
        <v>87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3692</v>
      </c>
      <c r="Z20" s="1079">
        <f t="shared" si="6"/>
        <v>80</v>
      </c>
      <c r="AA20" s="1079">
        <f t="shared" si="6"/>
        <v>2540</v>
      </c>
      <c r="AB20" s="1079">
        <f t="shared" si="6"/>
        <v>0</v>
      </c>
      <c r="AC20" s="1079">
        <f t="shared" si="6"/>
        <v>0</v>
      </c>
      <c r="AD20" s="1079">
        <f t="shared" si="6"/>
        <v>0</v>
      </c>
      <c r="AE20" s="1079">
        <f t="shared" si="6"/>
        <v>372</v>
      </c>
      <c r="AF20" s="1079">
        <f t="shared" si="6"/>
        <v>0</v>
      </c>
      <c r="AG20" s="1079">
        <f t="shared" si="6"/>
        <v>0</v>
      </c>
      <c r="AH20" s="1079">
        <f t="shared" si="6"/>
        <v>0</v>
      </c>
      <c r="AI20" s="1079">
        <f t="shared" si="6"/>
        <v>0</v>
      </c>
      <c r="AJ20" s="1079">
        <f t="shared" si="6"/>
        <v>217</v>
      </c>
      <c r="AK20" s="1079">
        <f t="shared" si="6"/>
        <v>2493</v>
      </c>
      <c r="AL20" s="1079">
        <f t="shared" si="6"/>
        <v>0</v>
      </c>
      <c r="AM20" s="1079">
        <f t="shared" si="6"/>
        <v>0</v>
      </c>
      <c r="AN20" s="1079">
        <f t="shared" si="6"/>
        <v>0</v>
      </c>
      <c r="AO20" s="1081">
        <f>IF(ISNUMBER(((NºAsuntos!I20/NºAsuntos!G20)*11)/factor_trimestre),((NºAsuntos!I20/NºAsuntos!G20)*11)/factor_trimestre," - ")</f>
        <v>2.0639219934994584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1983</v>
      </c>
      <c r="G21" s="967">
        <f t="shared" si="8"/>
        <v>2231</v>
      </c>
      <c r="H21" s="968">
        <f t="shared" si="8"/>
        <v>0</v>
      </c>
      <c r="I21" s="967">
        <f t="shared" si="8"/>
        <v>0</v>
      </c>
      <c r="J21" s="969">
        <f t="shared" si="8"/>
        <v>0</v>
      </c>
      <c r="K21" s="967">
        <f t="shared" si="8"/>
        <v>0</v>
      </c>
      <c r="L21" s="970">
        <f t="shared" si="8"/>
        <v>0</v>
      </c>
      <c r="M21" s="967">
        <f t="shared" si="8"/>
        <v>0</v>
      </c>
      <c r="N21" s="968">
        <f t="shared" si="8"/>
        <v>644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3735</v>
      </c>
      <c r="Z21" s="974">
        <f t="shared" si="9"/>
        <v>717</v>
      </c>
      <c r="AA21" s="975">
        <f t="shared" si="9"/>
        <v>2634</v>
      </c>
      <c r="AB21" s="975">
        <f t="shared" si="9"/>
        <v>0</v>
      </c>
      <c r="AC21" s="975">
        <f t="shared" si="9"/>
        <v>0</v>
      </c>
      <c r="AD21" s="976">
        <f t="shared" si="9"/>
        <v>0</v>
      </c>
      <c r="AE21" s="976">
        <f t="shared" si="9"/>
        <v>13340</v>
      </c>
      <c r="AF21" s="977">
        <f t="shared" si="9"/>
        <v>0</v>
      </c>
      <c r="AG21" s="978">
        <f t="shared" si="9"/>
        <v>0</v>
      </c>
      <c r="AH21" s="979">
        <f t="shared" si="9"/>
        <v>0</v>
      </c>
      <c r="AI21" s="977">
        <f t="shared" si="9"/>
        <v>0</v>
      </c>
      <c r="AJ21" s="967">
        <f t="shared" si="9"/>
        <v>1601</v>
      </c>
      <c r="AK21" s="967">
        <f t="shared" si="9"/>
        <v>5183</v>
      </c>
      <c r="AL21" s="967">
        <f t="shared" si="9"/>
        <v>0</v>
      </c>
      <c r="AM21" s="980">
        <f t="shared" si="9"/>
        <v>0</v>
      </c>
      <c r="AN21" s="970">
        <f>IF(ISNUMBER(Datos!K21/Datos!J21),Datos!K21/Datos!J21," - ")</f>
        <v>1.0457171564933434</v>
      </c>
      <c r="AO21" s="970">
        <f>IF(ISNUMBER(FIND("06",Criterios!A8,1)),(IF(ISNUMBER(((Datos!R21/Datos!Q21)*11)/factor_trimestre),((Datos!R21/Datos!Q21)*11)/factor_trimestre," - ")),(IF(ISNUMBER(((Datos!L21/Datos!K21)*11)/factor_trimestre),((Datos!L21/Datos!K21)*11)/factor_trimestre," - ")))</f>
        <v>4.5281047321643051</v>
      </c>
      <c r="AP21" s="981" t="str">
        <f>IF(ISNUMBER(Datos!CI21/Datos!CJ21),Datos!CI21/Datos!CJ21," - ")</f>
        <v xml:space="preserve"> - </v>
      </c>
      <c r="AQ21" s="981">
        <f>IF(OR(ISNUMBER(FIND("01",Criterios!A8,1)),ISNUMBER(FIND("02",Criterios!A8,1)),ISNUMBER(FIND("03",Criterios!A8,1)),ISNUMBER(FIND("04",Criterios!A8,1))),(J21-Y21+K21)/(F21-K21),(I21-Y21+K21)/(F21-K21))</f>
        <v>-1.8835098335854765</v>
      </c>
      <c r="AR21" s="981">
        <f>IF(ISNUMBER((Datos!P21-Datos!Q21+O21)/(Datos!R21-Datos!P21+Datos!Q21-O21)),(Datos!P21-Datos!Q21+O21)/(Datos!R21-Datos!P21+Datos!Q21-O21)," - ")</f>
        <v>-5.4424811749794978E-3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892.4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1040.9625353488952</v>
      </c>
      <c r="G23" s="601">
        <f>IF(ISNUMBER(STDEV(G8:G20)),STDEV(G8:G20),"-")</f>
        <v>995.34330760798309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578.28391445230932</v>
      </c>
      <c r="AK23" s="257"/>
      <c r="AL23" s="257">
        <f>IF(ISNUMBER(STDEV(AL8:AL20)),STDEV(AL8:AL20),"-")</f>
        <v>0</v>
      </c>
      <c r="AM23" s="259">
        <f>IF(ISNUMBER(STDEV(AM8:AM20)),STDEV(AM8:AM20),"-")</f>
        <v>0</v>
      </c>
      <c r="AN23" s="587">
        <f>IF(ISNUMBER(STDEV(AN8:AN20)),STDEV(AN8:AN20),"-")</f>
        <v>0</v>
      </c>
      <c r="AO23" s="588">
        <f>IF(ISNUMBER(STDEV(AO8:AO20)),STDEV(AO8:AO20),"-")</f>
        <v>2.2320372656982426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Igr4sD2BG1ezqN8id4b43kT2McFps6lsfd9HwG+/Ys26QOHf6/hOXOHGSAMjbwJenLPtnkPCTeKDqnTQneEig==" saltValue="Wy54s3zLG9wGBWCS277S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4KaYrZSKU1t+XmjRHNq4/m8/Uire/IiwVFSJAQ5NqWLfQ4yD8E6fTwNik7KkMNtxBTKarOYqSTHW5Q3cYQhRw==" saltValue="RcxfJ3gJo7p5JyL7a+t4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VSNxIi05tZBugjZviUh8I2ErKylsmgVQimVNHqLuPv2P8FASgb+2D7YG6kAXOHemahyOnwjXHzxCrqVAK9Bhw==" saltValue="TNRsVqWcCEoxTpVgw+uT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MOSTOLES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0.27602712405265256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0.19518065120905101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y070IPwo7RvYvk92W8I2jBkLKcYIfBROdxXMVjxeSMDC6rySyuxOKLbkQIqK3+3YqaqPTskq5sEuSRCXP0OBQ==" saltValue="5H/vKCdLEMIgR3zgNnRv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PIJZwn3CjUyKc1saw2ms/Xo1HtjsfyJaFm/xHDGulgQIn4o9uK3YNf/QyFOkBnv+2LWp9sxIcwXFZNKMWXrMA==" saltValue="rn27iRxMOplhEvgjDTmm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MOSTOLES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9915</v>
      </c>
      <c r="D9" s="416">
        <f>IF(ISNUMBER(C9/Datos!BH9),C9/Datos!BH9," - ")</f>
        <v>1652.5</v>
      </c>
      <c r="E9" s="415">
        <f>IF(ISNUMBER(IF(J_V="SI",Datos!J9,Datos!J9+Datos!Z9)),IF(J_V="SI",Datos!J9,Datos!J9+Datos!Z9)," - ")</f>
        <v>3514</v>
      </c>
      <c r="F9" s="416">
        <f>IF(ISNUMBER(E9/B9),E9/B9," - ")</f>
        <v>585.66666666666663</v>
      </c>
      <c r="G9" s="415">
        <f>IF(ISNUMBER(IF(J_V="SI",Datos!K9,Datos!K9+Datos!AA9)),IF(J_V="SI",Datos!K9,Datos!K9+Datos!AA9)," - ")</f>
        <v>4277</v>
      </c>
      <c r="H9" s="416">
        <f>IF(ISNUMBER(G9/B9),G9/B9," - ")</f>
        <v>712.83333333333337</v>
      </c>
      <c r="I9" s="415">
        <f>IF(ISNUMBER(IF(J_V="SI",Datos!L9,Datos!L9+Datos!AB9)),IF(J_V="SI",Datos!L9,Datos!L9+Datos!AB9)," - ")</f>
        <v>9152</v>
      </c>
      <c r="J9" s="416">
        <f>IF(ISNUMBER(I9/B9),I9/B9," - ")</f>
        <v>1525.3333333333333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90</v>
      </c>
      <c r="D10" s="416">
        <f>IF(ISNUMBER(C10/Datos!BH10),C10/Datos!BH10," - ")</f>
        <v>90</v>
      </c>
      <c r="E10" s="415">
        <f>IF(ISNUMBER(Datos!J10),Datos!J10," - ")</f>
        <v>47</v>
      </c>
      <c r="F10" s="416">
        <f>IF(ISNUMBER(E10/B10),E10/B10," - ")</f>
        <v>47</v>
      </c>
      <c r="G10" s="415">
        <f>IF(ISNUMBER(Datos!K10),Datos!K10," - ")</f>
        <v>43</v>
      </c>
      <c r="H10" s="416">
        <f>IF(ISNUMBER(G10/B10),G10/B10," - ")</f>
        <v>43</v>
      </c>
      <c r="I10" s="415">
        <f>IF(ISNUMBER(Datos!L10),Datos!L10," - ")</f>
        <v>94</v>
      </c>
      <c r="J10" s="416">
        <f>IF(ISNUMBER(I10/B10),I10/B10," - ")</f>
        <v>94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1056</v>
      </c>
      <c r="D11" s="416">
        <f>IF(ISNUMBER(C11/Datos!BH11),C11/Datos!BH11," - ")</f>
        <v>528</v>
      </c>
      <c r="E11" s="415">
        <f>IF(ISNUMBER(IF(J_V="SI",Datos!J11,Datos!J11+Datos!Z11)),IF(J_V="SI",Datos!J11,Datos!J11+Datos!Z11)," - ")</f>
        <v>786</v>
      </c>
      <c r="F11" s="416">
        <f>IF(ISNUMBER(E11/B11),E11/B11," - ")</f>
        <v>393</v>
      </c>
      <c r="G11" s="415">
        <f>IF(ISNUMBER(IF(J_V="SI",Datos!K11,Datos!K11+Datos!AA11)),IF(J_V="SI",Datos!K11,Datos!K11+Datos!AA11)," - ")</f>
        <v>694</v>
      </c>
      <c r="H11" s="416">
        <f>IF(ISNUMBER(G11/B11),G11/B11," - ")</f>
        <v>347</v>
      </c>
      <c r="I11" s="415">
        <f>IF(ISNUMBER(IF(J_V="SI",Datos!L11,Datos!L11+Datos!AB11)),IF(J_V="SI",Datos!L11,Datos!L11+Datos!AB11)," - ")</f>
        <v>1148</v>
      </c>
      <c r="J11" s="416">
        <f>IF(ISNUMBER(I11/B11),I11/B11," - ")</f>
        <v>574</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11061</v>
      </c>
      <c r="D14" s="997" t="str">
        <f>IF(ISNUMBER(C14/Datos!BI14),C14/Datos!BI14," - ")</f>
        <v xml:space="preserve"> - </v>
      </c>
      <c r="E14" s="996">
        <f>SUBTOTAL(9,E8:E13)</f>
        <v>4347</v>
      </c>
      <c r="F14" s="997">
        <f>IF(ISNUMBER(E14/B14),E14/B14," - ")</f>
        <v>483</v>
      </c>
      <c r="G14" s="996">
        <f>SUBTOTAL(9,G8:G13)</f>
        <v>5014</v>
      </c>
      <c r="H14" s="997">
        <f>IF(ISNUMBER(G14/B14),G14/B14," - ")</f>
        <v>557.11111111111109</v>
      </c>
      <c r="I14" s="996">
        <f>SUBTOTAL(9,I8:I13)</f>
        <v>10394</v>
      </c>
      <c r="J14" s="997">
        <f>IF(ISNUMBER(I14/B14),I14/B14," - ")</f>
        <v>1154.8888888888889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1796</v>
      </c>
      <c r="D16" s="416">
        <f>IF(ISNUMBER(C16/Datos!BH16),C16/Datos!BH16," - ")</f>
        <v>299.33333333333331</v>
      </c>
      <c r="E16" s="415">
        <f>IF(ISNUMBER(IF(D_I="SI",Datos!J16,Datos!J16+Datos!AD16)),IF(D_I="SI",Datos!J16,Datos!J16+Datos!AD16)," - ")</f>
        <v>3515</v>
      </c>
      <c r="F16" s="416">
        <f>IF(ISNUMBER(E16/B16),E16/B16," - ")</f>
        <v>585.83333333333337</v>
      </c>
      <c r="G16" s="415">
        <f>IF(ISNUMBER(IF(D_I="SI",Datos!K16,Datos!K16+Datos!AE16)),IF(D_I="SI",Datos!K16,Datos!K16+Datos!AE16)," - ")</f>
        <v>3174</v>
      </c>
      <c r="H16" s="416">
        <f>IF(ISNUMBER(G16/B16),G16/B16," - ")</f>
        <v>529</v>
      </c>
      <c r="I16" s="415">
        <f>IF(ISNUMBER(IF(D_I="SI",Datos!L16,Datos!L16+Datos!AF16)),IF(D_I="SI",Datos!L16,Datos!L16+Datos!AF16)," - ")</f>
        <v>2234</v>
      </c>
      <c r="J16" s="416">
        <f>IF(ISNUMBER(I16/B16),I16/B16," - ")</f>
        <v>372.33333333333331</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345</v>
      </c>
      <c r="D18" s="416">
        <f>IF(ISNUMBER(C18/Datos!BH18),C18/Datos!BH18," - ")</f>
        <v>345</v>
      </c>
      <c r="E18" s="415">
        <f>IF(ISNUMBER(IF(D_I="SI",Datos!J18,Datos!J18+Datos!AD18)),IF(D_I="SI",Datos!J18,Datos!J18+Datos!AD18)," - ")</f>
        <v>479</v>
      </c>
      <c r="F18" s="416">
        <f>IF(ISNUMBER(E18/B18),E18/B18," - ")</f>
        <v>479</v>
      </c>
      <c r="G18" s="415">
        <f>IF(ISNUMBER(IF(D_I="SI",Datos!K18,Datos!K18+Datos!AE18)),IF(D_I="SI",Datos!K18,Datos!K18+Datos!AE18)," - ")</f>
        <v>518</v>
      </c>
      <c r="H18" s="416">
        <f>IF(ISNUMBER(G18/B18),G18/B18," - ")</f>
        <v>518</v>
      </c>
      <c r="I18" s="415">
        <f>IF(ISNUMBER(IF(D_I="SI",Datos!L18,Datos!L18+Datos!AF18)),IF(D_I="SI",Datos!L18,Datos!L18+Datos!AF18)," - ")</f>
        <v>306</v>
      </c>
      <c r="J18" s="416">
        <f>IF(ISNUMBER(I18/B18),I18/B18," - ")</f>
        <v>306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2141</v>
      </c>
      <c r="D20" s="997" t="str">
        <f>IF(ISNUMBER(C20/Datos!BI20),C20/Datos!BI20," - ")</f>
        <v xml:space="preserve"> - </v>
      </c>
      <c r="E20" s="996">
        <f>SUBTOTAL(9,E15:E19)</f>
        <v>3994</v>
      </c>
      <c r="F20" s="997">
        <f>IF(ISNUMBER(E20/B20),E20/B20," - ")</f>
        <v>570.57142857142856</v>
      </c>
      <c r="G20" s="996">
        <f>SUBTOTAL(9,G15:G19)</f>
        <v>3692</v>
      </c>
      <c r="H20" s="997">
        <f>IF(ISNUMBER(G20/B20),G20/B20," - ")</f>
        <v>527.42857142857144</v>
      </c>
      <c r="I20" s="996">
        <f>SUBTOTAL(9,I15:I19)</f>
        <v>2540</v>
      </c>
      <c r="J20" s="997">
        <f>IF(ISNUMBER(I20/B20),I20/B20," - ")</f>
        <v>362.85714285714283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15</v>
      </c>
      <c r="C21" s="941">
        <f>SUBTOTAL(9,C9:C20)</f>
        <v>13202</v>
      </c>
      <c r="D21" s="942" t="str">
        <f>IF(ISNUMBER(C21/Datos!BI21),C21/Datos!BI21," - ")</f>
        <v xml:space="preserve"> - </v>
      </c>
      <c r="E21" s="941">
        <f>SUBTOTAL(9,E9:E20)</f>
        <v>8341</v>
      </c>
      <c r="F21" s="942">
        <f>IF(ISNUMBER(E21/B21),E21/B21," - ")</f>
        <v>556.06666666666672</v>
      </c>
      <c r="G21" s="941">
        <f>SUBTOTAL(9,G9:G20)</f>
        <v>8706</v>
      </c>
      <c r="H21" s="942">
        <f>IF(ISNUMBER(G21/B21),G21/B21," - ")</f>
        <v>580.4</v>
      </c>
      <c r="I21" s="941">
        <f>SUBTOTAL(9,I9:I20)</f>
        <v>12934</v>
      </c>
      <c r="J21" s="942">
        <f>IF(ISNUMBER(I21/B21),I21/B21," - ")</f>
        <v>862.26666666666665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OR3ffnxD7AFrkriI6Datf4p7s3pRC7kVtY8YNVWAHawKUllTKMCkBIlC14ZpSwgyt9X9Tf1jwAq4cit5uqFfQ==" saltValue="6vPZZKipY8m/hTKQh8BYa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MOSTOLES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90</v>
      </c>
      <c r="G10" s="803">
        <f>IF(ISNUMBER(Datos!I10),Datos!I10," - ")</f>
        <v>90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43</v>
      </c>
      <c r="AC10" s="802" t="str">
        <f>IF(ISNUMBER(IF(D_I="SI",DatosP!K18,DatosP!K18+DatosP!AE18)),IF(D_I="SI",DatosP!K18,DatosP!K18+DatosP!AE18)," - ")</f>
        <v xml:space="preserve"> - </v>
      </c>
      <c r="AD10" s="804"/>
      <c r="AE10" s="804"/>
      <c r="AF10" s="807">
        <f>IF(ISNUMBER(Datos!L10),Datos!L10,"-")</f>
        <v>94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16</v>
      </c>
      <c r="AN10" s="811">
        <f>IF(ISNUMBER(Datos!BW10+DatosP!BW18),Datos!BW10+DatosP!BW18," - ")</f>
        <v>0</v>
      </c>
      <c r="AO10" s="812">
        <f>IF(ISNUMBER(Datos!BX10+DatosP!BX18),Datos!BX10+DatosP!BX18," - ")</f>
        <v>0</v>
      </c>
      <c r="AP10" s="814">
        <f>IF(ISNUMBER(((Datos!L10/Datos!K10)*11)/factor_trimestre),((Datos!L10/Datos!K10)*11)/factor_trimestre," - ")</f>
        <v>6.558139534883721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90</v>
      </c>
      <c r="G14" s="1085">
        <f t="shared" si="0"/>
        <v>90</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43</v>
      </c>
      <c r="AC14" s="1086">
        <f t="shared" si="1"/>
        <v>0</v>
      </c>
      <c r="AD14" s="1086">
        <f t="shared" si="1"/>
        <v>0</v>
      </c>
      <c r="AE14" s="1086">
        <f t="shared" si="1"/>
        <v>0</v>
      </c>
      <c r="AF14" s="1086">
        <f t="shared" si="1"/>
        <v>94</v>
      </c>
      <c r="AG14" s="1086">
        <f t="shared" si="1"/>
        <v>0</v>
      </c>
      <c r="AH14" s="1086">
        <f t="shared" si="1"/>
        <v>0</v>
      </c>
      <c r="AI14" s="1086">
        <f t="shared" si="1"/>
        <v>0</v>
      </c>
      <c r="AJ14" s="1086">
        <f t="shared" si="1"/>
        <v>0</v>
      </c>
      <c r="AK14" s="1086">
        <f t="shared" si="1"/>
        <v>0</v>
      </c>
      <c r="AL14" s="1086">
        <f t="shared" si="1"/>
        <v>10</v>
      </c>
      <c r="AM14" s="1086">
        <f t="shared" si="1"/>
        <v>16</v>
      </c>
      <c r="AN14" s="1086">
        <f t="shared" si="1"/>
        <v>0</v>
      </c>
      <c r="AO14" s="1086">
        <f t="shared" si="1"/>
        <v>0</v>
      </c>
      <c r="AP14" s="1091">
        <f>IF(ISNUMBER(((Datos!L14/Datos!K14)*11)/factor_trimestre),((Datos!L14/Datos!K14)*11)/factor_trimestre," - ")</f>
        <v>6.4913681484678465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-0.4777777777777778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2.0639219934994584</v>
      </c>
      <c r="AQ20" s="1091">
        <f>IF(ISNUMBER(((Datos!M20/Datos!L20)*11)/factor_trimestre),((Datos!M20/Datos!L20)*11)/factor_trimestre," - ")</f>
        <v>0.2562992125984252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1.9178082191780823E-2</v>
      </c>
      <c r="AW20" s="1093">
        <f>IF(ISNUMBER((Datos!Q20-Datos!R20)/(Datos!S20-Datos!Q20+Datos!R20)),(Datos!Q20-Datos!R20)/(Datos!S20-Datos!Q20+Datos!R20)," - ")</f>
        <v>-0.13129496402877697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90</v>
      </c>
      <c r="G21" s="1098">
        <f t="shared" si="4"/>
        <v>90</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43</v>
      </c>
      <c r="AC21" s="1104">
        <f t="shared" si="5"/>
        <v>0</v>
      </c>
      <c r="AD21" s="1104">
        <f t="shared" si="5"/>
        <v>0</v>
      </c>
      <c r="AE21" s="1104">
        <f t="shared" si="5"/>
        <v>0</v>
      </c>
      <c r="AF21" s="1105">
        <f t="shared" si="5"/>
        <v>94</v>
      </c>
      <c r="AG21" s="1105">
        <f t="shared" si="5"/>
        <v>0</v>
      </c>
      <c r="AH21" s="1105">
        <f t="shared" si="5"/>
        <v>0</v>
      </c>
      <c r="AI21" s="1105">
        <f t="shared" si="5"/>
        <v>0</v>
      </c>
      <c r="AJ21" s="1106">
        <f t="shared" si="5"/>
        <v>0</v>
      </c>
      <c r="AK21" s="1106">
        <f t="shared" si="5"/>
        <v>0</v>
      </c>
      <c r="AL21" s="1098">
        <f t="shared" si="5"/>
        <v>10</v>
      </c>
      <c r="AM21" s="1098">
        <f t="shared" si="5"/>
        <v>16</v>
      </c>
      <c r="AN21" s="1098">
        <f t="shared" si="5"/>
        <v>0</v>
      </c>
      <c r="AO21" s="1098">
        <f t="shared" si="5"/>
        <v>0</v>
      </c>
      <c r="AP21" s="1098">
        <f>IF(ISNUMBER(((Datos!L21/Datos!K21)*11)/factor_trimestre),((Datos!L21/Datos!K21)*11)/factor_trimestre," - ")</f>
        <v>4.5281047321643051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-0.4777777777777778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-5.4424811749794978E-3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3.5523298860110981</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24.826061575153908</v>
      </c>
      <c r="AC23" s="872">
        <f>IF(ISNUMBER(STDEV(AC8:AC20)),STDEV(AC8:AC20),"-")</f>
        <v>0</v>
      </c>
      <c r="AD23" s="875"/>
      <c r="AE23" s="875"/>
      <c r="AF23" s="875"/>
      <c r="AG23" s="875"/>
      <c r="AH23" s="875"/>
      <c r="AI23" s="875"/>
      <c r="AJ23" s="876">
        <f>IF(ISNUMBER(STDEV(AJ8:AJ20)),STDEV(AJ8:AJ20),"-")</f>
        <v>0</v>
      </c>
      <c r="AK23" s="878"/>
      <c r="AL23" s="870">
        <f>IF(ISNUMBER(STDEV(AL8:AL20)),STDEV(AL8:AL20),"-")</f>
        <v>5.7735026918962573</v>
      </c>
      <c r="AM23" s="870"/>
      <c r="AN23" s="870">
        <f>IF(ISNUMBER(STDEV(AN8:AN20)),STDEV(AN8:AN20),"-")</f>
        <v>0</v>
      </c>
      <c r="AO23" s="876">
        <f>IF(ISNUMBER(STDEV(AO8:AO20)),STDEV(AO8:AO20),"-")</f>
        <v>0</v>
      </c>
      <c r="AP23" s="923">
        <f>IF(ISNUMBER(STDEV(AP8:AP20)),STDEV(AP8:AP20),"-")</f>
        <v>2.5756788484615805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F2d/6qWtO5sc40yYJ99ryYxk6BVpeIBp0JE+m7cxS96Oj27o8UutTpyUFh1ithRkWb03BcuckSyKXXqO1lWuA==" saltValue="//QeqBSvXk7iokZf1+uY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MOSTOLES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WPtaSiQRDl/R5M8wd35Eb+0Tur+S6wgvENM00M2PrGPnG256rnwUDIgY6tFKHEl1RMX9YGewMg3GvVNbbA4Nw==" saltValue="8he9qTUbUdGOQlPP6Rol2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MOSTOLES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1199</v>
      </c>
      <c r="E9" s="416">
        <f t="shared" ref="E9:E14" si="0">IF(ISNUMBER(D9/B9),D9/B9," - ")</f>
        <v>199.83333333333334</v>
      </c>
      <c r="F9" s="415">
        <f>IF(ISNUMBER(Datos!N9),Datos!N9," - ")</f>
        <v>2287</v>
      </c>
      <c r="G9" s="416">
        <f t="shared" ref="G9:G14" si="1">IF(ISNUMBER(F9/B9),F9/B9," - ")</f>
        <v>381.16666666666669</v>
      </c>
      <c r="H9" s="415">
        <f>IF(ISNUMBER(Datos!O9),Datos!O9," - ")</f>
        <v>936</v>
      </c>
      <c r="I9" s="416">
        <f>IF(ISNUMBER(H9/B9),H9/B9," - ")</f>
        <v>156</v>
      </c>
    </row>
    <row r="10" spans="1:9">
      <c r="A10" s="414" t="str">
        <f>Datos!A10</f>
        <v>Jdos. Violencia contra la mujer</v>
      </c>
      <c r="B10" s="444">
        <f>Datos!AO10</f>
        <v>1</v>
      </c>
      <c r="C10" s="422">
        <f>Datos!AQ10</f>
        <v>1</v>
      </c>
      <c r="D10" s="415">
        <f>IF(ISNUMBER(Datos!M10),Datos!M10," - ")</f>
        <v>10</v>
      </c>
      <c r="E10" s="416">
        <f>IF(ISNUMBER(D10/B10),D10/B10," - ")</f>
        <v>10</v>
      </c>
      <c r="F10" s="415">
        <f>IF(ISNUMBER(Datos!N10),Datos!N10," - ")</f>
        <v>16</v>
      </c>
      <c r="G10" s="416">
        <f>IF(ISNUMBER(F10/B10),F10/B10," - ")</f>
        <v>16</v>
      </c>
      <c r="H10" s="415">
        <f>IF(ISNUMBER(Datos!O10),Datos!O10," - ")</f>
        <v>9</v>
      </c>
      <c r="I10" s="416">
        <f t="shared" ref="I10:I13" si="2">IF(ISNUMBER(H10/B10),H10/B10," - ")</f>
        <v>9</v>
      </c>
    </row>
    <row r="11" spans="1:9">
      <c r="A11" s="414" t="str">
        <f>Datos!A11</f>
        <v xml:space="preserve">Jdos. Familia                                   </v>
      </c>
      <c r="B11" s="444">
        <f>Datos!AO11</f>
        <v>2</v>
      </c>
      <c r="C11" s="422">
        <f>Datos!AQ11</f>
        <v>2</v>
      </c>
      <c r="D11" s="415">
        <f>IF(ISNUMBER(Datos!M11),Datos!M11," - ")</f>
        <v>175</v>
      </c>
      <c r="E11" s="416">
        <f t="shared" si="0"/>
        <v>87.5</v>
      </c>
      <c r="F11" s="415">
        <f>IF(ISNUMBER(Datos!N11),Datos!N11," - ")</f>
        <v>387</v>
      </c>
      <c r="G11" s="416">
        <f t="shared" si="1"/>
        <v>193.5</v>
      </c>
      <c r="H11" s="415">
        <f>IF(ISNUMBER(Datos!O11),Datos!O11," - ")</f>
        <v>132</v>
      </c>
      <c r="I11" s="416">
        <f t="shared" si="2"/>
        <v>66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1384</v>
      </c>
      <c r="E14" s="997">
        <f t="shared" si="0"/>
        <v>153.77777777777777</v>
      </c>
      <c r="F14" s="996">
        <f>SUBTOTAL(9,F9:F13)</f>
        <v>2690</v>
      </c>
      <c r="G14" s="997">
        <f t="shared" si="1"/>
        <v>298.88888888888891</v>
      </c>
      <c r="H14" s="996">
        <f>SUBTOTAL(9,H9:H13)</f>
        <v>1077</v>
      </c>
      <c r="I14" s="997">
        <f>IF(ISNUMBER(H14/B14),H14/B14," - ")</f>
        <v>119.66666666666667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200</v>
      </c>
      <c r="E16" s="416">
        <f t="shared" ref="E16:E20" si="3">IF(ISNUMBER(D16/B16),D16/B16," - ")</f>
        <v>33.333333333333336</v>
      </c>
      <c r="F16" s="415">
        <f>IF(ISNUMBER(Datos!N16),Datos!N16," - ")</f>
        <v>2171</v>
      </c>
      <c r="G16" s="416">
        <f t="shared" ref="G16:G20" si="4">IF(ISNUMBER(F16/B16),F16/B16," - ")</f>
        <v>361.83333333333331</v>
      </c>
      <c r="H16" s="415">
        <f>IF(ISNUMBER(Datos!O16),Datos!O16," - ")</f>
        <v>15</v>
      </c>
      <c r="I16" s="416">
        <f t="shared" ref="I16:I19" si="5">IF(ISNUMBER(H16/B16),H16/B16," - ")</f>
        <v>2.5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17</v>
      </c>
      <c r="E18" s="416">
        <f>IF(ISNUMBER(D18/B18),D18/B18," - ")</f>
        <v>17</v>
      </c>
      <c r="F18" s="415">
        <f>IF(ISNUMBER(Datos!N18),Datos!N18," - ")</f>
        <v>322</v>
      </c>
      <c r="G18" s="416">
        <f>IF(ISNUMBER(F18/B18),F18/B18," - ")</f>
        <v>322</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217</v>
      </c>
      <c r="E20" s="997">
        <f t="shared" si="3"/>
        <v>31</v>
      </c>
      <c r="F20" s="996">
        <f>SUBTOTAL(9,F16:F19)</f>
        <v>2493</v>
      </c>
      <c r="G20" s="997">
        <f t="shared" si="4"/>
        <v>356.14285714285717</v>
      </c>
      <c r="H20" s="996">
        <f>SUBTOTAL(9,H16:H19)</f>
        <v>17</v>
      </c>
      <c r="I20" s="997">
        <f>IF(ISNUMBER(H20/B20),H20/B20," - ")</f>
        <v>2.4285714285714284</v>
      </c>
    </row>
    <row r="21" spans="1:9" ht="14.25" thickTop="1" thickBot="1">
      <c r="A21" s="940" t="str">
        <f>Datos!A21</f>
        <v>TOTAL JURISDICCIONES</v>
      </c>
      <c r="B21" s="941">
        <f>Datos!AP21</f>
        <v>15</v>
      </c>
      <c r="C21" s="941">
        <f>Datos!AR21</f>
        <v>15</v>
      </c>
      <c r="D21" s="941">
        <f>SUBTOTAL(9,D8:D20)</f>
        <v>1601</v>
      </c>
      <c r="E21" s="942">
        <f>IF(ISNUMBER(D21/B21),D21/B21," - ")</f>
        <v>106.73333333333333</v>
      </c>
      <c r="F21" s="941">
        <f>SUBTOTAL(9,F8:F20)</f>
        <v>5183</v>
      </c>
      <c r="G21" s="942">
        <f>IF(ISNUMBER(F21/B21),F21/B21," - ")</f>
        <v>345.53333333333336</v>
      </c>
      <c r="H21" s="941">
        <f>SUBTOTAL(9,H8:H20)</f>
        <v>1094</v>
      </c>
      <c r="I21" s="942">
        <f>IF(ISNUMBER(H21/B21),H21/B21," - ")</f>
        <v>72.933333333333337</v>
      </c>
    </row>
    <row r="24" spans="1:9">
      <c r="A24" s="403" t="str">
        <f>Criterios!A4</f>
        <v>Fecha Informe: 06 jun. 2023</v>
      </c>
    </row>
    <row r="29" spans="1:9">
      <c r="A29" s="426"/>
    </row>
  </sheetData>
  <sheetProtection algorithmName="SHA-512" hashValue="3x3hT5amIjy3k2vOr3MjmMhpPAbJF3ot5hx+fjRjPxViSblfqmp+mcS3GfAP8kf7qNk58bRysw+oNEN6aOm0aA==" saltValue="M3HpQhUxKpIgKknzIYlV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MOSTOLES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486</v>
      </c>
      <c r="C9" s="451">
        <f>IF(ISNUMBER(Datos!Q9),Datos!Q9," - ")</f>
        <v>544</v>
      </c>
      <c r="D9" s="420">
        <f>IF(ISNUMBER(Datos!R9),Datos!R9," - ")</f>
        <v>12113</v>
      </c>
    </row>
    <row r="10" spans="1:4">
      <c r="A10" s="414" t="str">
        <f>Datos!A10</f>
        <v>Jdos. Violencia contra la mujer</v>
      </c>
      <c r="B10" s="450">
        <f>IF(ISNUMBER(Datos!P10),Datos!P10," - ")</f>
        <v>7</v>
      </c>
      <c r="C10" s="451">
        <f>IF(ISNUMBER(Datos!Q10),Datos!Q10," - ")</f>
        <v>21</v>
      </c>
      <c r="D10" s="420">
        <f>IF(ISNUMBER(Datos!R10),Datos!R10," - ")</f>
        <v>72</v>
      </c>
    </row>
    <row r="11" spans="1:4">
      <c r="A11" s="414" t="str">
        <f>Datos!A11</f>
        <v xml:space="preserve">Jdos. Familia                                   </v>
      </c>
      <c r="B11" s="450">
        <f>IF(ISNUMBER(Datos!P11),Datos!P11," - ")</f>
        <v>64</v>
      </c>
      <c r="C11" s="451">
        <f>IF(ISNUMBER(Datos!Q11),Datos!Q11," - ")</f>
        <v>72</v>
      </c>
      <c r="D11" s="420">
        <f>IF(ISNUMBER(Datos!R11),Datos!R11," - ")</f>
        <v>783</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557</v>
      </c>
      <c r="C14" s="1000">
        <f>SUBTOTAL(9,C9:C13)</f>
        <v>637</v>
      </c>
      <c r="D14" s="998">
        <f>SUBTOTAL(9,D9:D13)</f>
        <v>12968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83</v>
      </c>
      <c r="C16" s="451">
        <f>IF(ISNUMBER(Datos!Q16),Datos!Q16," - ")</f>
        <v>74</v>
      </c>
      <c r="D16" s="420">
        <f>IF(ISNUMBER(Datos!R16),Datos!R16," - ")</f>
        <v>357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6</v>
      </c>
      <c r="D18" s="420">
        <f>IF(ISNUMBER(Datos!R18),Datos!R18," - ")</f>
        <v>15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87</v>
      </c>
      <c r="C20" s="1000">
        <f>SUBTOTAL(9,C16:C19)</f>
        <v>80</v>
      </c>
      <c r="D20" s="998">
        <f>SUBTOTAL(9,D16:D19)</f>
        <v>372</v>
      </c>
    </row>
    <row r="21" spans="1:4" ht="16.5" customHeight="1" thickTop="1" thickBot="1">
      <c r="A21" s="940" t="str">
        <f>Datos!A21</f>
        <v>TOTAL JURISDICCIONES</v>
      </c>
      <c r="B21" s="945">
        <f>SUBTOTAL(9,B8:B20)</f>
        <v>644</v>
      </c>
      <c r="C21" s="946">
        <f>SUBTOTAL(9,C8:C20)</f>
        <v>717</v>
      </c>
      <c r="D21" s="947">
        <f>SUBTOTAL(9,D8:D20)</f>
        <v>13340</v>
      </c>
    </row>
    <row r="22" spans="1:4" ht="7.5" customHeight="1"/>
    <row r="23" spans="1:4" ht="6" customHeight="1"/>
    <row r="24" spans="1:4">
      <c r="A24" s="403" t="str">
        <f>Criterios!A4</f>
        <v>Fecha Informe: 06 jun. 2023</v>
      </c>
    </row>
    <row r="29" spans="1:4">
      <c r="A29" s="426"/>
    </row>
  </sheetData>
  <sheetProtection algorithmName="SHA-512" hashValue="S9tGsxz6tTpZaqavux60EU0Gli9AZp6vvrjxAseEuWrsfdD6ux8B1NTh+0dCl1REx8SKaEfFEUudy9Q2LNnfyQ==" saltValue="6SIY5ES3EZRKbknODEBF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MOSTOLES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-0.11243398084325486</v>
      </c>
      <c r="C9" s="473">
        <f>IF(ISNUMBER(
   IF(J_V="SI",(Datos!J9-Datos!T9)/Datos!T9,(Datos!J9+Datos!Z9-(Datos!T9+Datos!AH9))/(Datos!T9+Datos!AH9))
     ),IF(J_V="SI",(Datos!J9-Datos!T9)/Datos!T9,(Datos!J9+Datos!Z9-(Datos!T9+Datos!AH9))/(Datos!T9+Datos!AH9))," - ")</f>
        <v>-0.14501216545012166</v>
      </c>
      <c r="D9" s="473">
        <f>IF(ISNUMBER(
   IF(J_V="SI",(Datos!K9-Datos!U9)/Datos!U9,(Datos!K9+Datos!AA9-(Datos!U9+Datos!AI9))/(Datos!U9+Datos!AI9))
     ),IF(J_V="SI",(Datos!K9-Datos!U9)/Datos!U9,(Datos!K9+Datos!AA9-(Datos!U9+Datos!AI9))/(Datos!U9+Datos!AI9))," - ")</f>
        <v>-9.9578947368421059E-2</v>
      </c>
      <c r="E9" s="473">
        <f>IF(ISNUMBER(
   IF(J_V="SI",(Datos!L9-Datos!V9)/Datos!V9,(Datos!L9+Datos!AB9-(Datos!V9+Datos!AJ9))/(Datos!V9+Datos!AJ9))
     ),IF(J_V="SI",(Datos!L9-Datos!V9)/Datos!V9,(Datos!L9+Datos!AB9-(Datos!V9+Datos!AJ9))/(Datos!V9+Datos!AJ9))," - ")</f>
        <v>-0.14202681166213557</v>
      </c>
      <c r="F9" s="473">
        <f>IF(ISNUMBER((Datos!M9-Datos!W9)/Datos!W9),(Datos!M9-Datos!W9)/Datos!W9," - ")</f>
        <v>0.14408396946564886</v>
      </c>
      <c r="G9" s="474">
        <f>IF(ISNUMBER((Datos!N9-Datos!X9)/Datos!X9),(Datos!N9-Datos!X9)/Datos!X9," - ")</f>
        <v>-0.12543021032504781</v>
      </c>
      <c r="H9" s="472">
        <f>IF(ISNUMBER(((NºAsuntos!G9/NºAsuntos!E9)-Datos!BD9)/Datos!BD9),((NºAsuntos!G9/NºAsuntos!E9)-Datos!BD9)/Datos!BD9," - ")</f>
        <v>5.3139022855944636E-2</v>
      </c>
      <c r="I9" s="473">
        <f>IF(ISNUMBER(((NºAsuntos!I9/NºAsuntos!G9)-Datos!BE9)/Datos!BE9),((NºAsuntos!I9/NºAsuntos!G9)-Datos!BE9)/Datos!BE9," - ")</f>
        <v>-4.7142238811116219E-2</v>
      </c>
      <c r="J9" s="478">
        <f>IF(ISNUMBER((('Resol  Asuntos'!D9/NºAsuntos!G9)-Datos!BF9)/Datos!BF9),(('Resol  Asuntos'!D9/NºAsuntos!G9)-Datos!BF9)/Datos!BF9," - ")</f>
        <v>-0.49078422492848267</v>
      </c>
      <c r="K9" s="479">
        <f>IF(ISNUMBER((((NºAsuntos!C9+NºAsuntos!E9)/NºAsuntos!G9)-Datos!BG9)/Datos!BG9),(((NºAsuntos!C9+NºAsuntos!E9)/NºAsuntos!G9)-Datos!BG9)/Datos!BG9," - ")</f>
        <v>-2.40080008767866E-2</v>
      </c>
    </row>
    <row r="10" spans="1:11">
      <c r="A10" s="414" t="str">
        <f>Datos!A10</f>
        <v>Jdos. Violencia contra la mujer</v>
      </c>
      <c r="B10" s="472">
        <f>IF(ISNUMBER((Datos!I10-Datos!S10)/Datos!S10),(Datos!I10-Datos!S10)/Datos!S10," - ")</f>
        <v>2.2727272727272728E-2</v>
      </c>
      <c r="C10" s="473">
        <f>IF(ISNUMBER((Datos!J10-Datos!T10)/Datos!T10),(Datos!J10-Datos!T10)/Datos!T10," - ")</f>
        <v>-2.0833333333333332E-2</v>
      </c>
      <c r="D10" s="473">
        <f>IF(ISNUMBER((Datos!K10-Datos!U10)/Datos!U10),(Datos!K10-Datos!U10)/Datos!U10," - ")</f>
        <v>-8.5106382978723402E-2</v>
      </c>
      <c r="E10" s="473">
        <f>IF(ISNUMBER((Datos!L10-Datos!V10)/Datos!V10),(Datos!L10-Datos!V10)/Datos!V10," - ")</f>
        <v>5.6179775280898875E-2</v>
      </c>
      <c r="F10" s="473">
        <f>IF(ISNUMBER((Datos!M10-Datos!W10)/Datos!W10),(Datos!M10-Datos!W10)/Datos!W10," - ")</f>
        <v>-9.0909090909090912E-2</v>
      </c>
      <c r="G10" s="474">
        <f>IF(ISNUMBER((Datos!N10-Datos!X10)/Datos!X10),(Datos!N10-Datos!X10)/Datos!X10," - ")</f>
        <v>0</v>
      </c>
      <c r="H10" s="472">
        <f>IF(ISNUMBER(((NºAsuntos!G10/NºAsuntos!E10)-Datos!BD10)/Datos!BD10),((NºAsuntos!G10/NºAsuntos!E10)-Datos!BD10)/Datos!BD10," - ")</f>
        <v>-6.5640561339972814E-2</v>
      </c>
      <c r="I10" s="473">
        <f>IF(ISNUMBER(((NºAsuntos!I10/NºAsuntos!G10)-Datos!BE10)/Datos!BE10),((NºAsuntos!I10/NºAsuntos!G10)-Datos!BE10)/Datos!BE10," - ")</f>
        <v>0.1544290567023778</v>
      </c>
      <c r="J10" s="478">
        <f>IF(ISNUMBER((('Resol  Asuntos'!D10/NºAsuntos!G10)-Datos!BF10)/Datos!BF10),(('Resol  Asuntos'!D10/NºAsuntos!G10)-Datos!BF10)/Datos!BF10," - ")</f>
        <v>-6.3424947145877715E-3</v>
      </c>
      <c r="K10" s="479">
        <f>IF(ISNUMBER((((NºAsuntos!C10+NºAsuntos!E10)/NºAsuntos!G10)-Datos!BG10)/Datos!BG10),(((NºAsuntos!C10+NºAsuntos!E10)/NºAsuntos!G10)-Datos!BG10)/Datos!BG10," - ")</f>
        <v>0.10106019151846775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-0.17821011673151751</v>
      </c>
      <c r="C11" s="473">
        <f>IF(ISNUMBER(
   IF(J_V="SI",(Datos!J11-Datos!T11)/Datos!T11,(Datos!J11+Datos!Z11-(Datos!T11+Datos!AH11))/(Datos!T11+Datos!AH11))
     ),IF(J_V="SI",(Datos!J11-Datos!T11)/Datos!T11,(Datos!J11+Datos!Z11-(Datos!T11+Datos!AH11))/(Datos!T11+Datos!AH11))," - ")</f>
        <v>-3.8022813688212928E-3</v>
      </c>
      <c r="D11" s="473">
        <f>IF(ISNUMBER(
   IF(J_V="SI",(Datos!K11-Datos!U11)/Datos!U11,(Datos!K11+Datos!AA11-(Datos!U11+Datos!AI11))/(Datos!U11+Datos!AI11))
     ),IF(J_V="SI",(Datos!K11-Datos!U11)/Datos!U11,(Datos!K11+Datos!AA11-(Datos!U11+Datos!AI11))/(Datos!U11+Datos!AI11))," - ")</f>
        <v>-7.5898801597869506E-2</v>
      </c>
      <c r="E11" s="473">
        <f>IF(ISNUMBER(
   IF(J_V="SI",(Datos!L11-Datos!V11)/Datos!V11,(Datos!L11+Datos!AB11-(Datos!V11+Datos!AJ11))/(Datos!V11+Datos!AJ11))
     ),IF(J_V="SI",(Datos!L11-Datos!V11)/Datos!V11,(Datos!L11+Datos!AB11-(Datos!V11+Datos!AJ11))/(Datos!V11+Datos!AJ11))," - ")</f>
        <v>5.514705882352941E-2</v>
      </c>
      <c r="F11" s="473">
        <f>IF(ISNUMBER((Datos!M11-Datos!W11)/Datos!W11),(Datos!M11-Datos!W11)/Datos!W11," - ")</f>
        <v>-0.27685950413223143</v>
      </c>
      <c r="G11" s="474">
        <f>IF(ISNUMBER((Datos!N11-Datos!X11)/Datos!X11),(Datos!N11-Datos!X11)/Datos!X11," - ")</f>
        <v>0.2857142857142857</v>
      </c>
      <c r="H11" s="472">
        <f>IF(ISNUMBER(((NºAsuntos!G11/NºAsuntos!E11)-Datos!BD11)/Datos!BD11),((NºAsuntos!G11/NºAsuntos!E11)-Datos!BD11)/Datos!BD11," - ")</f>
        <v>-7.2371697787174366E-2</v>
      </c>
      <c r="I11" s="473">
        <f>IF(ISNUMBER(((NºAsuntos!I11/NºAsuntos!G11)-Datos!BE11)/Datos!BE11),((NºAsuntos!I11/NºAsuntos!G11)-Datos!BE11)/Datos!BE11," - ")</f>
        <v>0.14180899304966937</v>
      </c>
      <c r="J11" s="478">
        <f>IF(ISNUMBER((('Resol  Asuntos'!D11/NºAsuntos!G11)-Datos!BF11)/Datos!BF11),(('Resol  Asuntos'!D11/NºAsuntos!G11)-Datos!BF11)/Datos!BF11," - ")</f>
        <v>-0.37085315997587298</v>
      </c>
      <c r="K11" s="479">
        <f>IF(ISNUMBER((((NºAsuntos!C11+NºAsuntos!E11)/NºAsuntos!G11)-Datos!BG11)/Datos!BG11),(((NºAsuntos!C11+NºAsuntos!E11)/NºAsuntos!G11)-Datos!BG11)/Datos!BG11," - ")</f>
        <v>-3.8916015217916822E-2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-0.11822385204081633</v>
      </c>
      <c r="C14" s="1002">
        <f>IF(ISNUMBER(
   IF(J_V="SI",(Datos!J14-Datos!T14)/Datos!T14,(Datos!J14+Datos!Z14-(Datos!T14+Datos!AH14))/(Datos!T14+Datos!AH14))
     ),IF(J_V="SI",(Datos!J14-Datos!T14)/Datos!T14,(Datos!J14+Datos!Z14-(Datos!T14+Datos!AH14))/(Datos!T14+Datos!AH14))," - ")</f>
        <v>-0.1212856276531231</v>
      </c>
      <c r="D14" s="1002">
        <f>IF(ISNUMBER(
   IF(J_V="SI",(Datos!K14-Datos!U14)/Datos!U14,(Datos!K14+Datos!AA14-(Datos!U14+Datos!AI14))/(Datos!U14+Datos!AI14))
     ),IF(J_V="SI",(Datos!K14-Datos!U14)/Datos!U14,(Datos!K14+Datos!AA14-(Datos!U14+Datos!AI14))/(Datos!U14+Datos!AI14))," - ")</f>
        <v>-9.6250901225666902E-2</v>
      </c>
      <c r="E14" s="1002">
        <f>IF(ISNUMBER(
   IF(J_V="SI",(Datos!L14-Datos!V14)/Datos!V14,(Datos!L14+Datos!AB14-(Datos!V14+Datos!AJ14))/(Datos!V14+Datos!AJ14))
     ),IF(J_V="SI",(Datos!L14-Datos!V14)/Datos!V14,(Datos!L14+Datos!AB14-(Datos!V14+Datos!AJ14))/(Datos!V14+Datos!AJ14))," - ")</f>
        <v>-0.12242485646740967</v>
      </c>
      <c r="F14" s="1003">
        <f>IF(ISNUMBER((Datos!M14-Datos!W14)/Datos!W14),(Datos!M14-Datos!W14)/Datos!W14," - ")</f>
        <v>6.3797079169869333E-2</v>
      </c>
      <c r="G14" s="1004">
        <f>IF(ISNUMBER((Datos!N14-Datos!X14)/Datos!X14),(Datos!N14-Datos!X14)/Datos!X14," - ")</f>
        <v>-8.2537517053206E-2</v>
      </c>
      <c r="H14" s="1004">
        <f>IF(ISNUMBER(((NºAsuntos!G14/NºAsuntos!E14)-Datos!BD14)/Datos!BD14),((NºAsuntos!G14/NºAsuntos!E14)-Datos!BD14)/Datos!BD14," - ")</f>
        <v>2.8490175209713812E-2</v>
      </c>
      <c r="I14" s="1004">
        <f>IF(ISNUMBER(((NºAsuntos!I14/NºAsuntos!G14)-Datos!BE14)/Datos!BE14),((NºAsuntos!I14/NºAsuntos!G14)-Datos!BE14)/Datos!BE14," - ")</f>
        <v>-2.8961528456559495E-2</v>
      </c>
      <c r="J14" s="1004">
        <f>IF(ISNUMBER((('Resol  Asuntos'!D14/NºAsuntos!G14)-Datos!BF14)/Datos!BF14),(('Resol  Asuntos'!D14/NºAsuntos!G14)-Datos!BF14)/Datos!BF14," - ")</f>
        <v>-0.47680270439217071</v>
      </c>
      <c r="K14" s="1004">
        <f>IF(ISNUMBER((((NºAsuntos!C14+NºAsuntos!E14)/NºAsuntos!G14)-Datos!BG14)/Datos!BG14),(((NºAsuntos!C14+NºAsuntos!E14)/NºAsuntos!G14)-Datos!BG14)/Datos!BG14," - ")</f>
        <v>-2.5271301986135232E-2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5.7714958775029447E-2</v>
      </c>
      <c r="C16" s="473">
        <f>IF(ISNUMBER(
   IF(D_I="SI",(Datos!J16-Datos!T16)/Datos!T16,(Datos!J16+Datos!AD16-(Datos!T16+Datos!AL16))/(Datos!T16+Datos!AL16))
     ),IF(D_I="SI",(Datos!J16-Datos!T16)/Datos!T16,(Datos!J16+Datos!AD16-(Datos!T16+Datos!AL16))/(Datos!T16+Datos!AL16))," - ")</f>
        <v>1.3260305563562986E-2</v>
      </c>
      <c r="D16" s="473">
        <f>IF(ISNUMBER(
   IF(D_I="SI",(Datos!K16-Datos!U16)/Datos!U16,(Datos!K16+Datos!AE16-(Datos!U16+Datos!AM16))/(Datos!U16+Datos!AM16))
     ),IF(D_I="SI",(Datos!K16-Datos!U16)/Datos!U16,(Datos!K16+Datos!AE16-(Datos!U16+Datos!AM16))/(Datos!U16+Datos!AM16))," - ")</f>
        <v>-0.1016133597509199</v>
      </c>
      <c r="E16" s="473">
        <f>IF(ISNUMBER(
   IF(D_I="SI",(Datos!L16-Datos!V16)/Datos!V16,(Datos!L16+Datos!AF16-(Datos!V16+Datos!AN16))/(Datos!V16+Datos!AN16))
     ),IF(D_I="SI",(Datos!L16-Datos!V16)/Datos!V16,(Datos!L16+Datos!AF16-(Datos!V16+Datos!AN16))/(Datos!V16+Datos!AN16))," - ")</f>
        <v>0.32267613972764947</v>
      </c>
      <c r="F16" s="473">
        <f>IF(ISNUMBER((Datos!M16-Datos!W16)/Datos!W16),(Datos!M16-Datos!W16)/Datos!W16," - ")</f>
        <v>-0.37106918238993708</v>
      </c>
      <c r="G16" s="474">
        <f>IF(ISNUMBER((Datos!N16-Datos!X16)/Datos!X16),(Datos!N16-Datos!X16)/Datos!X16," - ")</f>
        <v>7.0512820512820512E-2</v>
      </c>
      <c r="H16" s="472">
        <f>IF(ISNUMBER(((NºAsuntos!G16/NºAsuntos!E16)-Datos!BD16)/Datos!BD16),((NºAsuntos!G16/NºAsuntos!E16)-Datos!BD16)/Datos!BD16," - ")</f>
        <v>-0.11337033996470584</v>
      </c>
      <c r="I16" s="473">
        <f>IF(ISNUMBER(((NºAsuntos!I16/NºAsuntos!G16)-Datos!BE16)/Datos!BE16),((NºAsuntos!I16/NºAsuntos!G16)-Datos!BE16)/Datos!BE16," - ")</f>
        <v>0.47227939560736787</v>
      </c>
      <c r="J16" s="478">
        <f>IF(ISNUMBER((('Resol  Asuntos'!D16/NºAsuntos!G16)-Datos!BF16)/Datos!BF16),(('Resol  Asuntos'!D16/NºAsuntos!G16)-Datos!BF16)/Datos!BF16," - ")</f>
        <v>-0.2999330250106011</v>
      </c>
      <c r="K16" s="479">
        <f>IF(ISNUMBER((((NºAsuntos!C16+NºAsuntos!E16)/NºAsuntos!G16)-Datos!BG16)/Datos!BG16),(((NºAsuntos!C16+NºAsuntos!E16)/NºAsuntos!G16)-Datos!BG16)/Datos!BG16," - ")</f>
        <v>0.14412784393811287</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0.47435897435897434</v>
      </c>
      <c r="C18" s="473">
        <f>IF(ISNUMBER(
   IF(D_I="SI",(Datos!J18-Datos!T18)/Datos!T18,(Datos!J18+Datos!AD18-(Datos!T18+Datos!AL18))/(Datos!T18+Datos!AL18))
     ),IF(D_I="SI",(Datos!J18-Datos!T18)/Datos!T18,(Datos!J18+Datos!AD18-(Datos!T18+Datos!AL18))/(Datos!T18+Datos!AL18))," - ")</f>
        <v>0.2345360824742268</v>
      </c>
      <c r="D18" s="473">
        <f>IF(ISNUMBER(
   IF(D_I="SI",(Datos!K18-Datos!U18)/Datos!U18,(Datos!K18+Datos!AE18-(Datos!U18+Datos!AM18))/(Datos!U18+Datos!AM18))
     ),IF(D_I="SI",(Datos!K18-Datos!U18)/Datos!U18,(Datos!K18+Datos!AE18-(Datos!U18+Datos!AM18))/(Datos!U18+Datos!AM18))," - ")</f>
        <v>0.25728155339805825</v>
      </c>
      <c r="E18" s="473">
        <f>IF(ISNUMBER(
   IF(D_I="SI",(Datos!L18-Datos!V18)/Datos!V18,(Datos!L18+Datos!AF18-(Datos!V18+Datos!AN18))/(Datos!V18+Datos!AN18))
     ),IF(D_I="SI",(Datos!L18-Datos!V18)/Datos!V18,(Datos!L18+Datos!AF18-(Datos!V18+Datos!AN18))/(Datos!V18+Datos!AN18))," - ")</f>
        <v>0.41666666666666669</v>
      </c>
      <c r="F18" s="473">
        <f>IF(ISNUMBER((Datos!M18-Datos!W18)/Datos!W18),(Datos!M18-Datos!W18)/Datos!W18," - ")</f>
        <v>-5.5555555555555552E-2</v>
      </c>
      <c r="G18" s="474">
        <f>IF(ISNUMBER((Datos!N18-Datos!X18)/Datos!X18),(Datos!N18-Datos!X18)/Datos!X18," - ")</f>
        <v>0.41850220264317178</v>
      </c>
      <c r="H18" s="472">
        <f>IF(ISNUMBER(((NºAsuntos!G18/NºAsuntos!E18)-Datos!BD18)/Datos!BD18),((NºAsuntos!G18/NºAsuntos!E18)-Datos!BD18)/Datos!BD18," - ")</f>
        <v>1.8424306301558679E-2</v>
      </c>
      <c r="I18" s="473">
        <f>IF(ISNUMBER(((NºAsuntos!I18/NºAsuntos!G18)-Datos!BE18)/Datos!BE18),((NºAsuntos!I18/NºAsuntos!G18)-Datos!BE18)/Datos!BE18," - ")</f>
        <v>0.12676962676962686</v>
      </c>
      <c r="J18" s="478">
        <f>IF(ISNUMBER((('Resol  Asuntos'!D18/NºAsuntos!G18)-Datos!BF18)/Datos!BF18),(('Resol  Asuntos'!D18/NºAsuntos!G18)-Datos!BF18)/Datos!BF18," - ")</f>
        <v>-0.24882024882024892</v>
      </c>
      <c r="K18" s="479">
        <f>IF(ISNUMBER((((NºAsuntos!C18+NºAsuntos!E18)/NºAsuntos!G18)-Datos!BG18)/Datos!BG18),(((NºAsuntos!C18+NºAsuntos!E18)/NºAsuntos!G18)-Datos!BG18)/Datos!BG18," - ")</f>
        <v>5.3669195148294782E-2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0.10817805383022774</v>
      </c>
      <c r="C20" s="1002">
        <f>IF(ISNUMBER(
   IF(Criterios!B14="SI",(Datos!J20-Datos!T20)/Datos!T20,(Datos!J20+Datos!AD20-(Datos!T20+Datos!AL20))/(Datos!T20+Datos!AL20))
     ),IF(Criterios!B14="SI",(Datos!J20-Datos!T20)/Datos!T20,(Datos!J20+Datos!AD20-(Datos!T20+Datos!AL20))/(Datos!T20+Datos!AL20))," - ")</f>
        <v>3.5519834067928441E-2</v>
      </c>
      <c r="D20" s="1002">
        <f>IF(ISNUMBER(
   IF(Criterios!B14="SI",(Datos!K20-Datos!U20)/Datos!U20,(Datos!K20+Datos!AE20-(Datos!U20+Datos!AM20))/(Datos!U20+Datos!AM20))
     ),IF(Criterios!B14="SI",(Datos!K20-Datos!U20)/Datos!U20,(Datos!K20+Datos!AE20-(Datos!U20+Datos!AM20))/(Datos!U20+Datos!AM20))," - ")</f>
        <v>-6.4131812420785805E-2</v>
      </c>
      <c r="E20" s="1002">
        <f>IF(ISNUMBER(
   IF(Criterios!B14="SI",(Datos!L20-Datos!V20)/Datos!V20,(Datos!L20+Datos!AF20-(Datos!V20+Datos!AN20))/(Datos!V20+Datos!AN20))
     ),IF(Criterios!B14="SI",(Datos!L20-Datos!V20)/Datos!V20,(Datos!L20+Datos!AF20-(Datos!V20+Datos!AN20))/(Datos!V20+Datos!AN20))," - ")</f>
        <v>0.33333333333333331</v>
      </c>
      <c r="F20" s="1003">
        <f>IF(ISNUMBER((Datos!M20-Datos!W20)/Datos!W20),(Datos!M20-Datos!W20)/Datos!W20," - ")</f>
        <v>-0.35416666666666669</v>
      </c>
      <c r="G20" s="1004">
        <f>IF(ISNUMBER((Datos!N20-Datos!X20)/Datos!X20),(Datos!N20-Datos!X20)/Datos!X20," - ")</f>
        <v>0.10554323725055433</v>
      </c>
      <c r="H20" s="1004">
        <f>IF(ISNUMBER(((NºAsuntos!G20/NºAsuntos!E20)-Datos!BD20)/Datos!BD20),((NºAsuntos!G20/NºAsuntos!E20)-Datos!BD20)/Datos!BD20," - ")</f>
        <v>-9.6233450302196016E-2</v>
      </c>
      <c r="I20" s="1004">
        <f>IF(ISNUMBER(((NºAsuntos!I20/NºAsuntos!G20)-Datos!BE20)/Datos!BE20),((NºAsuntos!I20/NºAsuntos!G20)-Datos!BE20)/Datos!BE20," - ")</f>
        <v>0.42470205850487525</v>
      </c>
      <c r="J20" s="1004">
        <f>IF(ISNUMBER((('Resol  Asuntos'!D20/NºAsuntos!G20)-Datos!BF20)/Datos!BF20),(('Resol  Asuntos'!D20/NºAsuntos!G20)-Datos!BF20)/Datos!BF20," - ")</f>
        <v>-0.30990994041170095</v>
      </c>
      <c r="K20" s="1004">
        <f>IF(ISNUMBER((((NºAsuntos!C20+NºAsuntos!E20)/NºAsuntos!G20)-Datos!BG20)/Datos!BG20),(((NºAsuntos!C20+NºAsuntos!E20)/NºAsuntos!G20)-Datos!BG20)/Datos!BG20," - ")</f>
        <v>0.13239080094931038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-8.800773694390715E-2</v>
      </c>
      <c r="C21" s="949">
        <f>IF(ISNUMBER(
   IF(J_V="SI",(Datos!J21-Datos!T21)/Datos!T21,(Datos!J21+Datos!Z21-(Datos!T21+Datos!AH21))/(Datos!T21+Datos!AH21))
     ),IF(J_V="SI",(Datos!J21-Datos!T21)/Datos!T21,(Datos!J21+Datos!Z21-(Datos!T21+Datos!AH21))/(Datos!T21+Datos!AH21))," - ")</f>
        <v>-5.2589731940027258E-2</v>
      </c>
      <c r="D21" s="949">
        <f>IF(ISNUMBER(
   IF(J_V="SI",(Datos!K21-Datos!U21)/Datos!U21,(Datos!K21+Datos!AA21-(Datos!U21+Datos!AI21))/(Datos!U21+Datos!AI21))
     ),IF(J_V="SI",(Datos!K21-Datos!U21)/Datos!U21,(Datos!K21+Datos!AA21-(Datos!U21+Datos!AI21))/(Datos!U21+Datos!AI21))," - ")</f>
        <v>-8.2903191825555667E-2</v>
      </c>
      <c r="E21" s="949">
        <f>IF(ISNUMBER(
   IF(J_V="SI",(Datos!L21-Datos!V21)/Datos!V21,(Datos!L21+Datos!AB21-(Datos!V21+Datos!AJ21))/(Datos!V21+Datos!AJ21))
     ),IF(J_V="SI",(Datos!L21-Datos!V21)/Datos!V21,(Datos!L21+Datos!AB21-(Datos!V21+Datos!AJ21))/(Datos!V21+Datos!AJ21))," - ")</f>
        <v>-5.9277038330060365E-2</v>
      </c>
      <c r="F21" s="950">
        <f>IF(ISNUMBER((Datos!M21-Datos!W21)/Datos!W21),(Datos!M21-Datos!W21)/Datos!W21," - ")</f>
        <v>-2.1991447770311544E-2</v>
      </c>
      <c r="G21" s="951">
        <f>IF(ISNUMBER((Datos!N21-Datos!X21)/Datos!X21),(Datos!N21-Datos!X21)/Datos!X21," - ")</f>
        <v>-7.7115866589550798E-4</v>
      </c>
      <c r="H21" s="952">
        <f>IF(ISNUMBER((Tasas!B21-Datos!BD21)/Datos!BD21),(Tasas!B21-Datos!BD21)/Datos!BD21," - ")</f>
        <v>-3.1996127662413651E-2</v>
      </c>
      <c r="I21" s="953">
        <f>IF(ISNUMBER((Tasas!C21-Datos!BE21)/Datos!BE21),(Tasas!C21-Datos!BE21)/Datos!BE21," - ")</f>
        <v>2.5761896982855165E-2</v>
      </c>
      <c r="J21" s="954">
        <f>IF(ISNUMBER((Tasas!D21-Datos!BF21)/Datos!BF21),(Tasas!D21-Datos!BF21)/Datos!BF21," - ")</f>
        <v>-0.46499347817164072</v>
      </c>
      <c r="K21" s="954">
        <f>IF(ISNUMBER((Tasas!E21-Datos!BG21)/Datos!BG21),(Tasas!E21-Datos!BG21)/Datos!BG21," - ")</f>
        <v>9.0391654292216808E-3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J9yg9X17IReYiZ4WqSu0owpZezVeXc8ijYkh8LcfK7uwpWBlmQpEVLCG7GtQhzMGWY06bykMgEHUtEBBsK2xg==" saltValue="5Vb8mW0PqxZ+6lc9PTqIQ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MOSTOLES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1.2171314741035857</v>
      </c>
      <c r="C9" s="460">
        <f>IF(ISNUMBER(NºAsuntos!I9/NºAsuntos!G9),NºAsuntos!I9/NºAsuntos!G9," - ")</f>
        <v>2.1398176291793312</v>
      </c>
      <c r="D9" s="461">
        <f>IF(ISNUMBER('Resol  Asuntos'!D9/NºAsuntos!G9),'Resol  Asuntos'!D9/NºAsuntos!G9," - ")</f>
        <v>0.28033668459200373</v>
      </c>
      <c r="E9" s="462">
        <f>IF(ISNUMBER((NºAsuntos!C9+NºAsuntos!E9)/NºAsuntos!G9),(NºAsuntos!C9+NºAsuntos!E9)/NºAsuntos!G9," - ")</f>
        <v>3.1398176291793312</v>
      </c>
      <c r="G9" s="480"/>
    </row>
    <row r="10" spans="1:7">
      <c r="A10" s="414" t="str">
        <f>Datos!A10</f>
        <v>Jdos. Violencia contra la mujer</v>
      </c>
      <c r="B10" s="459">
        <f>IF(ISNUMBER(NºAsuntos!G10/NºAsuntos!E10),NºAsuntos!G10/NºAsuntos!E10," - ")</f>
        <v>0.91489361702127658</v>
      </c>
      <c r="C10" s="460">
        <f>IF(ISNUMBER(NºAsuntos!I10/NºAsuntos!G10),NºAsuntos!I10/NºAsuntos!G10," - ")</f>
        <v>2.1860465116279069</v>
      </c>
      <c r="D10" s="461">
        <f>IF(ISNUMBER('Resol  Asuntos'!D10/NºAsuntos!G10),'Resol  Asuntos'!D10/NºAsuntos!G10," - ")</f>
        <v>0.23255813953488372</v>
      </c>
      <c r="E10" s="462">
        <f>IF(ISNUMBER((NºAsuntos!C10+NºAsuntos!E10)/NºAsuntos!G10),(NºAsuntos!C10+NºAsuntos!E10)/NºAsuntos!G10," - ")</f>
        <v>3.1860465116279069</v>
      </c>
      <c r="G10" s="480"/>
    </row>
    <row r="11" spans="1:7">
      <c r="A11" s="414" t="str">
        <f>Datos!A11</f>
        <v xml:space="preserve">Jdos. Familia                                   </v>
      </c>
      <c r="B11" s="459">
        <f>IF(ISNUMBER(NºAsuntos!G11/NºAsuntos!E11),NºAsuntos!G11/NºAsuntos!E11," - ")</f>
        <v>0.88295165394402031</v>
      </c>
      <c r="C11" s="460">
        <f>IF(ISNUMBER(NºAsuntos!I11/NºAsuntos!G11),NºAsuntos!I11/NºAsuntos!G11," - ")</f>
        <v>1.6541786743515849</v>
      </c>
      <c r="D11" s="461">
        <f>IF(ISNUMBER('Resol  Asuntos'!D11/NºAsuntos!G11),'Resol  Asuntos'!D11/NºAsuntos!G11," - ")</f>
        <v>0.25216138328530258</v>
      </c>
      <c r="E11" s="462">
        <f>IF(ISNUMBER((NºAsuntos!C11+NºAsuntos!E11)/NºAsuntos!G11),(NºAsuntos!C11+NºAsuntos!E11)/NºAsuntos!G11," - ")</f>
        <v>2.6541786743515852</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1.1534391534391535</v>
      </c>
      <c r="C14" s="1006">
        <f>IF(ISNUMBER(NºAsuntos!I14/NºAsuntos!G14),NºAsuntos!I14/NºAsuntos!G14," - ")</f>
        <v>2.0729956122856001</v>
      </c>
      <c r="D14" s="1007">
        <f>IF(ISNUMBER('Resol  Asuntos'!D14/NºAsuntos!G14),'Resol  Asuntos'!D14/NºAsuntos!G14," - ")</f>
        <v>0.27602712405265256</v>
      </c>
      <c r="E14" s="1008">
        <f>IF(ISNUMBER((NºAsuntos!C14+NºAsuntos!E14)/NºAsuntos!G14),(NºAsuntos!C14+NºAsuntos!E14)/NºAsuntos!G14," - ")</f>
        <v>3.0729956122856001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0.90298719772403979</v>
      </c>
      <c r="C16" s="460">
        <f>IF(ISNUMBER(NºAsuntos!I16/NºAsuntos!G16),NºAsuntos!I16/NºAsuntos!G16," - ")</f>
        <v>0.70384373030875869</v>
      </c>
      <c r="D16" s="461">
        <f>IF(ISNUMBER('Resol  Asuntos'!D16/NºAsuntos!G16),'Resol  Asuntos'!D16/NºAsuntos!G16," - ")</f>
        <v>6.3011972274732195E-2</v>
      </c>
      <c r="E16" s="462">
        <f>IF(ISNUMBER((NºAsuntos!C16+NºAsuntos!E16)/NºAsuntos!G16),(NºAsuntos!C16+NºAsuntos!E16)/NºAsuntos!G16," - ")</f>
        <v>1.6732829237555136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1.081419624217119</v>
      </c>
      <c r="C18" s="460">
        <f>IF(ISNUMBER(NºAsuntos!I18/NºAsuntos!G18),NºAsuntos!I18/NºAsuntos!G18," - ")</f>
        <v>0.59073359073359077</v>
      </c>
      <c r="D18" s="461">
        <f>IF(ISNUMBER('Resol  Asuntos'!D18/NºAsuntos!G18),'Resol  Asuntos'!D18/NºAsuntos!G18," - ")</f>
        <v>3.2818532818532815E-2</v>
      </c>
      <c r="E18" s="462">
        <f>IF(ISNUMBER((NºAsuntos!C18+NºAsuntos!E18)/NºAsuntos!G18),(NºAsuntos!C18+NºAsuntos!E18)/NºAsuntos!G18," - ")</f>
        <v>1.5907335907335907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0.92438657986980466</v>
      </c>
      <c r="C20" s="1006">
        <f>IF(ISNUMBER(NºAsuntos!I20/NºAsuntos!G20),NºAsuntos!I20/NºAsuntos!G20," - ")</f>
        <v>0.68797399783315272</v>
      </c>
      <c r="D20" s="1009">
        <f>IF(ISNUMBER('Resol  Asuntos'!D20/NºAsuntos!G20),'Resol  Asuntos'!D20/NºAsuntos!G20," - ")</f>
        <v>5.8775731310942582E-2</v>
      </c>
      <c r="E20" s="1008">
        <f>IF(ISNUMBER((NºAsuntos!C20+NºAsuntos!E20)/NºAsuntos!G20),(NºAsuntos!C20+NºAsuntos!E20)/NºAsuntos!G20," - ")</f>
        <v>1.6617009750812568</v>
      </c>
      <c r="G20" s="480"/>
    </row>
    <row r="21" spans="1:7" ht="15.75" customHeight="1" thickTop="1" thickBot="1">
      <c r="A21" s="940" t="str">
        <f>Datos!A21</f>
        <v>TOTAL JURISDICCIONES</v>
      </c>
      <c r="B21" s="955">
        <f>IF(ISNUMBER(NºAsuntos!G21/NºAsuntos!E21),NºAsuntos!G21/NºAsuntos!E21," - ")</f>
        <v>1.0437597410382449</v>
      </c>
      <c r="C21" s="956">
        <f>IF(ISNUMBER(NºAsuntos!I21/NºAsuntos!G21),NºAsuntos!I21/NºAsuntos!G21," - ")</f>
        <v>1.4856420859177579</v>
      </c>
      <c r="D21" s="957">
        <f>IF(ISNUMBER('Resol  Asuntos'!D21/NºAsuntos!G21),'Resol  Asuntos'!D21/NºAsuntos!G21," - ")</f>
        <v>0.18389616356535723</v>
      </c>
      <c r="E21" s="958">
        <f>IF(ISNUMBER((NºAsuntos!C21+NºAsuntos!E21)/NºAsuntos!G21),(NºAsuntos!C21+NºAsuntos!E21)/NºAsuntos!G21," - ")</f>
        <v>2.4745003445899378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kXO52NfoUeO7zkk+eTNX7zfnuekV5pFup65b3SFv4Gi/kbno8MSNmOAXoC7fCpt54pUNuMYvkPqZfyV5jp7A==" saltValue="3kKlaFOYcSjZheUEQrHdK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MOSTOLES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486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544</v>
      </c>
      <c r="Y9" s="344">
        <f>SUM(W9:X9)</f>
        <v>544</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12113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1199</v>
      </c>
      <c r="AJ9" s="234" t="str">
        <f>IF(ISNUMBER(Datos!BW9),Datos!BW9," - ")</f>
        <v xml:space="preserve"> - </v>
      </c>
      <c r="AK9" s="233" t="str">
        <f>IF(ISNUMBER(Datos!BX9),Datos!BX9," - ")</f>
        <v xml:space="preserve"> - </v>
      </c>
      <c r="AL9" s="248">
        <f>IF(ISNUMBER(NºAsuntos!G9/NºAsuntos!E9),NºAsuntos!G9/NºAsuntos!E9," - ")</f>
        <v>1.2171314741035857</v>
      </c>
      <c r="AM9" s="265">
        <f>IF(ISNUMBER(((NºAsuntos!I9/NºAsuntos!G9)*11)/factor_trimestre),((NºAsuntos!I9/NºAsuntos!G9)*11)/factor_trimestre," - ")</f>
        <v>6.4194528875379939</v>
      </c>
      <c r="AN9" s="249">
        <f>IF(ISNUMBER('Resol  Asuntos'!D9/NºAsuntos!G9),'Resol  Asuntos'!D9/NºAsuntos!G9," - ")</f>
        <v>0.28033668459200373</v>
      </c>
      <c r="AO9" s="250">
        <f>IF(ISNUMBER((NºAsuntos!C9+NºAsuntos!E9)/NºAsuntos!G9),(NºAsuntos!C9+NºAsuntos!E9)/NºAsuntos!G9," - ")</f>
        <v>3.1398176291793312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90</v>
      </c>
      <c r="G10" s="343">
        <f>IF(ISNUMBER(Datos!I10),Datos!I10," - ")</f>
        <v>90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43</v>
      </c>
      <c r="X10" s="231">
        <f>IF(ISNUMBER(Datos!Q10),Datos!Q10," - ")</f>
        <v>21</v>
      </c>
      <c r="Y10" s="344">
        <f t="shared" ref="Y10:Y13" si="0">SUM(W10:X10)</f>
        <v>64</v>
      </c>
      <c r="Z10" s="345" t="str">
        <f>IF(ISNUMBER(Datos!CC10),Datos!CC10," - ")</f>
        <v xml:space="preserve"> - </v>
      </c>
      <c r="AA10" s="342">
        <f>IF(ISNUMBER(Datos!L10),Datos!L10,"-")</f>
        <v>94</v>
      </c>
      <c r="AB10" s="344">
        <f>IF(ISNUMBER(Datos!R10),Datos!R10," - ")</f>
        <v>72</v>
      </c>
      <c r="AC10" s="344">
        <f t="shared" ref="AC10:AC13" si="1">IF(ISNUMBER(AA10+AB10),AA10+AB10," - ")</f>
        <v>166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0.91489361702127658</v>
      </c>
      <c r="AM10" s="265">
        <f>IF(ISNUMBER(((NºAsuntos!I10/NºAsuntos!G10)*11)/factor_trimestre),((NºAsuntos!I10/NºAsuntos!G10)*11)/factor_trimestre," - ")</f>
        <v>6.558139534883721</v>
      </c>
      <c r="AN10" s="249">
        <f>IF(ISNUMBER('Resol  Asuntos'!D10/NºAsuntos!G10),'Resol  Asuntos'!D10/NºAsuntos!G10," - ")</f>
        <v>0.23255813953488372</v>
      </c>
      <c r="AO10" s="250">
        <f>IF(ISNUMBER((NºAsuntos!C10+NºAsuntos!E10)/NºAsuntos!G10),(NºAsuntos!C10+NºAsuntos!E10)/NºAsuntos!G10," - ")</f>
        <v>3.1860465116279069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72</v>
      </c>
      <c r="Y11" s="344">
        <f t="shared" si="0"/>
        <v>72</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783</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175</v>
      </c>
      <c r="AJ11" s="236" t="str">
        <f>IF(ISNUMBER(Datos!BW11),Datos!BW11," - ")</f>
        <v xml:space="preserve"> - </v>
      </c>
      <c r="AK11" s="237" t="str">
        <f>IF(ISNUMBER(Datos!BX11),Datos!BX11," - ")</f>
        <v xml:space="preserve"> - </v>
      </c>
      <c r="AL11" s="248">
        <f>IF(ISNUMBER(NºAsuntos!G11/NºAsuntos!E11),NºAsuntos!G11/NºAsuntos!E11," - ")</f>
        <v>0.88295165394402031</v>
      </c>
      <c r="AM11" s="265">
        <f>IF(ISNUMBER(((NºAsuntos!I11/NºAsuntos!G11)*11)/factor_trimestre),((NºAsuntos!I11/NºAsuntos!G11)*11)/factor_trimestre," - ")</f>
        <v>4.9625360230547546</v>
      </c>
      <c r="AN11" s="249">
        <f>IF(ISNUMBER('Resol  Asuntos'!D11/NºAsuntos!G11),'Resol  Asuntos'!D11/NºAsuntos!G11," - ")</f>
        <v>0.25216138328530258</v>
      </c>
      <c r="AO11" s="250">
        <f>IF(ISNUMBER((NºAsuntos!C11+NºAsuntos!E11)/NºAsuntos!G11),(NºAsuntos!C11+NºAsuntos!E11)/NºAsuntos!G11," - ")</f>
        <v>2.6541786743515852</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90</v>
      </c>
      <c r="G14" s="1013">
        <f t="shared" si="5"/>
        <v>90</v>
      </c>
      <c r="H14" s="1012">
        <f t="shared" si="5"/>
        <v>0</v>
      </c>
      <c r="I14" s="1014">
        <f t="shared" si="5"/>
        <v>0</v>
      </c>
      <c r="J14" s="1014">
        <f t="shared" si="5"/>
        <v>0</v>
      </c>
      <c r="K14" s="1014">
        <f t="shared" si="5"/>
        <v>0</v>
      </c>
      <c r="L14" s="1014">
        <f t="shared" si="5"/>
        <v>557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43</v>
      </c>
      <c r="X14" s="1014">
        <f t="shared" si="6"/>
        <v>637</v>
      </c>
      <c r="Y14" s="1015">
        <f t="shared" si="6"/>
        <v>680</v>
      </c>
      <c r="Z14" s="1015">
        <f t="shared" si="6"/>
        <v>0</v>
      </c>
      <c r="AA14" s="1015">
        <f t="shared" si="6"/>
        <v>94</v>
      </c>
      <c r="AB14" s="1015">
        <f t="shared" si="6"/>
        <v>12968</v>
      </c>
      <c r="AC14" s="1015">
        <f t="shared" si="6"/>
        <v>166</v>
      </c>
      <c r="AD14" s="1015">
        <f t="shared" si="6"/>
        <v>0</v>
      </c>
      <c r="AE14" s="1019">
        <f t="shared" si="6"/>
        <v>0</v>
      </c>
      <c r="AF14" s="1012">
        <f t="shared" si="6"/>
        <v>0</v>
      </c>
      <c r="AG14" s="1020">
        <f t="shared" si="6"/>
        <v>0</v>
      </c>
      <c r="AH14" s="1017">
        <f t="shared" si="6"/>
        <v>0</v>
      </c>
      <c r="AI14" s="1012">
        <f t="shared" si="6"/>
        <v>1384</v>
      </c>
      <c r="AJ14" s="1014">
        <f t="shared" si="6"/>
        <v>0</v>
      </c>
      <c r="AK14" s="1017">
        <f>SUBTOTAL(9,AK9:AK13)</f>
        <v>0</v>
      </c>
      <c r="AL14" s="1021">
        <f>IF(ISNUMBER(NºAsuntos!G14/NºAsuntos!E14),NºAsuntos!G14/NºAsuntos!E14," - ")</f>
        <v>1.1534391534391535</v>
      </c>
      <c r="AM14" s="1021">
        <f>IF(ISNUMBER(((NºAsuntos!I14/NºAsuntos!G14)*11)/factor_trimestre),((NºAsuntos!I14/NºAsuntos!G14)*11)/factor_trimestre," - ")</f>
        <v>6.2189868368568009</v>
      </c>
      <c r="AN14" s="1022">
        <f>IF(ISNUMBER('Resol  Asuntos'!D14/NºAsuntos!G14),'Resol  Asuntos'!D14/NºAsuntos!G14," - ")</f>
        <v>0.27602712405265256</v>
      </c>
      <c r="AO14" s="1023">
        <f>IF(ISNUMBER((NºAsuntos!C14+NºAsuntos!E14)/NºAsuntos!G14),(NºAsuntos!C14+NºAsuntos!E14)/NºAsuntos!G14," - ")</f>
        <v>3.0729956122856001</v>
      </c>
      <c r="AP14" s="1024" t="str">
        <f t="shared" si="2"/>
        <v xml:space="preserve"> - </v>
      </c>
      <c r="AQ14" s="1024">
        <f>IF(ISNUMBER((H14-W14+K14)/(F14)),(H14-W14+K14)/(F14)," - ")</f>
        <v>-0.4777777777777778</v>
      </c>
      <c r="AR14" s="1025">
        <f>IF(ISNUMBER((Datos!P14-Datos!Q14)/(Datos!R14-Datos!P14+Datos!Q14)),(Datos!P14-Datos!Q14)/(Datos!R14-Datos!P14+Datos!Q14)," - ")</f>
        <v>-6.1312078479460455E-3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1893</v>
      </c>
      <c r="G16" s="343">
        <f>IF(ISNUMBER(IF(D_I="SI",Datos!I16,Datos!I16+Datos!AC16)),IF(D_I="SI",Datos!I16,Datos!I16+Datos!AC16)," - ")</f>
        <v>1796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3174</v>
      </c>
      <c r="X16" s="231">
        <f>IF(ISNUMBER(Datos!Q16),Datos!Q16," - ")</f>
        <v>74</v>
      </c>
      <c r="Y16" s="344">
        <f>SUM(W16)</f>
        <v>3174</v>
      </c>
      <c r="Z16" s="345" t="str">
        <f>IF(ISNUMBER(Datos!CC16),Datos!CC16," - ")</f>
        <v xml:space="preserve"> - </v>
      </c>
      <c r="AA16" s="342">
        <f>IF(ISNUMBER(IF(D_I="SI",Datos!L16,Datos!L16+Datos!AF16)),IF(D_I="SI",Datos!L16,Datos!L16+Datos!AF16)," - ")</f>
        <v>2234</v>
      </c>
      <c r="AB16" s="344">
        <f>IF(ISNUMBER(Datos!R16),Datos!R16," - ")</f>
        <v>357</v>
      </c>
      <c r="AC16" s="344">
        <f t="shared" ref="AC16:AC19" si="8">IF(ISNUMBER(AA16+AB16),AA16+AB16," - ")</f>
        <v>2591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200</v>
      </c>
      <c r="AJ16" s="236" t="str">
        <f>IF(ISNUMBER(Datos!BW16),Datos!BW16," - ")</f>
        <v xml:space="preserve"> - </v>
      </c>
      <c r="AK16" s="237" t="str">
        <f>IF(ISNUMBER(Datos!BX16),Datos!BX16," - ")</f>
        <v xml:space="preserve"> - </v>
      </c>
      <c r="AL16" s="248">
        <f>IF(ISNUMBER(NºAsuntos!G16/NºAsuntos!E16),NºAsuntos!G16/NºAsuntos!E16," - ")</f>
        <v>0.90298719772403979</v>
      </c>
      <c r="AM16" s="265">
        <f>IF(ISNUMBER(((NºAsuntos!I16/NºAsuntos!G16)*11)/factor_trimestre),((NºAsuntos!I16/NºAsuntos!G16)*11)/factor_trimestre," - ")</f>
        <v>2.1115311909262759</v>
      </c>
      <c r="AN16" s="249">
        <f>IF(ISNUMBER('Resol  Asuntos'!D16/NºAsuntos!G16),'Resol  Asuntos'!D16/NºAsuntos!G16," - ")</f>
        <v>6.3011972274732195E-2</v>
      </c>
      <c r="AO16" s="250">
        <f>IF(ISNUMBER((NºAsuntos!C16+NºAsuntos!E16)/NºAsuntos!G16),(NºAsuntos!C16+NºAsuntos!E16)/NºAsuntos!G16," - ")</f>
        <v>1.6732829237555136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518</v>
      </c>
      <c r="X18" s="231">
        <f>IF(ISNUMBER(Datos!Q18),Datos!Q18," - ")</f>
        <v>6</v>
      </c>
      <c r="Y18" s="344">
        <f t="shared" si="9"/>
        <v>524</v>
      </c>
      <c r="Z18" s="345" t="str">
        <f>IF(ISNUMBER(Datos!CC18),Datos!CC18," - ")</f>
        <v xml:space="preserve"> - </v>
      </c>
      <c r="AA18" s="342">
        <f>IF(ISNUMBER(Datos!L18),Datos!L18,"-")</f>
        <v>306</v>
      </c>
      <c r="AB18" s="344">
        <f>IF(ISNUMBER(Datos!R18),Datos!R18," - ")</f>
        <v>15</v>
      </c>
      <c r="AC18" s="344">
        <f t="shared" si="8"/>
        <v>321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17</v>
      </c>
      <c r="AJ18" s="236" t="str">
        <f>IF(ISNUMBER(Datos!BW18),Datos!BW18," - ")</f>
        <v xml:space="preserve"> - </v>
      </c>
      <c r="AK18" s="237" t="str">
        <f>IF(ISNUMBER(Datos!BX18),Datos!BX18," - ")</f>
        <v xml:space="preserve"> - </v>
      </c>
      <c r="AL18" s="248">
        <f>IF(ISNUMBER(NºAsuntos!G18/NºAsuntos!E18),NºAsuntos!G18/NºAsuntos!E18," - ")</f>
        <v>1.081419624217119</v>
      </c>
      <c r="AM18" s="265">
        <f>IF(ISNUMBER(((NºAsuntos!I18/NºAsuntos!G18)*11)/factor_trimestre),((NºAsuntos!I18/NºAsuntos!G18)*11)/factor_trimestre," - ")</f>
        <v>1.7722007722007724</v>
      </c>
      <c r="AN18" s="249">
        <f>IF(ISNUMBER('Resol  Asuntos'!D18/NºAsuntos!G18),'Resol  Asuntos'!D18/NºAsuntos!G18," - ")</f>
        <v>3.2818532818532815E-2</v>
      </c>
      <c r="AO18" s="250">
        <f>IF(ISNUMBER((NºAsuntos!C18+NºAsuntos!E18)/NºAsuntos!G18),(NºAsuntos!C18+NºAsuntos!E18)/NºAsuntos!G18," - ")</f>
        <v>1.5907335907335907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1893</v>
      </c>
      <c r="G20" s="1013">
        <f>SUBTOTAL(9,G16:G19)</f>
        <v>2141</v>
      </c>
      <c r="H20" s="1012">
        <f t="shared" ref="H20:O20" si="12">SUBTOTAL(9,H15:H19)</f>
        <v>0</v>
      </c>
      <c r="I20" s="1014">
        <f t="shared" si="12"/>
        <v>0</v>
      </c>
      <c r="J20" s="1014">
        <f t="shared" si="12"/>
        <v>0</v>
      </c>
      <c r="K20" s="1014">
        <f t="shared" si="12"/>
        <v>0</v>
      </c>
      <c r="L20" s="1014">
        <f t="shared" si="12"/>
        <v>87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3692</v>
      </c>
      <c r="X20" s="1014">
        <f t="shared" si="13"/>
        <v>80</v>
      </c>
      <c r="Y20" s="1015">
        <f t="shared" si="13"/>
        <v>3698</v>
      </c>
      <c r="Z20" s="1015">
        <f t="shared" si="13"/>
        <v>0</v>
      </c>
      <c r="AA20" s="1015">
        <f t="shared" si="13"/>
        <v>2540</v>
      </c>
      <c r="AB20" s="1015">
        <f t="shared" si="13"/>
        <v>372</v>
      </c>
      <c r="AC20" s="1015">
        <f t="shared" si="13"/>
        <v>2912</v>
      </c>
      <c r="AD20" s="1015">
        <f t="shared" si="13"/>
        <v>0</v>
      </c>
      <c r="AE20" s="1019">
        <f t="shared" si="13"/>
        <v>0</v>
      </c>
      <c r="AF20" s="1012">
        <f t="shared" si="13"/>
        <v>0</v>
      </c>
      <c r="AG20" s="1020">
        <f t="shared" si="13"/>
        <v>0</v>
      </c>
      <c r="AH20" s="1017">
        <f t="shared" si="13"/>
        <v>0</v>
      </c>
      <c r="AI20" s="1012">
        <f t="shared" si="13"/>
        <v>217</v>
      </c>
      <c r="AJ20" s="1014">
        <f t="shared" si="13"/>
        <v>0</v>
      </c>
      <c r="AK20" s="1017">
        <f t="shared" si="13"/>
        <v>0</v>
      </c>
      <c r="AL20" s="1021">
        <f>IF(ISNUMBER(NºAsuntos!G20/NºAsuntos!E20),NºAsuntos!G20/NºAsuntos!E20," - ")</f>
        <v>0.92438657986980466</v>
      </c>
      <c r="AM20" s="1021">
        <f>IF(ISNUMBER(((NºAsuntos!I20/NºAsuntos!G20)*11)/factor_trimestre),((NºAsuntos!I20/NºAsuntos!G20)*11)/factor_trimestre," - ")</f>
        <v>2.0639219934994584</v>
      </c>
      <c r="AN20" s="1022">
        <f>IF(ISNUMBER('Resol  Asuntos'!D20/NºAsuntos!G20),'Resol  Asuntos'!D20/NºAsuntos!G20," - ")</f>
        <v>5.8775731310942582E-2</v>
      </c>
      <c r="AO20" s="1023">
        <f>IF(ISNUMBER((NºAsuntos!C20+NºAsuntos!E20)/NºAsuntos!G20),(NºAsuntos!C20+NºAsuntos!E20)/NºAsuntos!G20," - ")</f>
        <v>1.6617009750812568</v>
      </c>
      <c r="AP20" s="1024" t="str">
        <f t="shared" si="2"/>
        <v xml:space="preserve"> - </v>
      </c>
      <c r="AQ20" s="1024">
        <f>IF(ISNUMBER((H20-W20+K20)/(F20)),(H20-W20+K20)/(F20)," - ")</f>
        <v>-1.9503433703116746</v>
      </c>
      <c r="AR20" s="1025">
        <f>IF(ISNUMBER((Datos!P20-Datos!Q20)/(Datos!R20-Datos!P20+Datos!Q20)),(Datos!P20-Datos!Q20)/(Datos!R20-Datos!P20+Datos!Q20)," - ")</f>
        <v>1.9178082191780823E-2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1983</v>
      </c>
      <c r="G21" s="968">
        <f t="shared" si="15"/>
        <v>2231</v>
      </c>
      <c r="H21" s="967">
        <f t="shared" si="15"/>
        <v>0</v>
      </c>
      <c r="I21" s="969">
        <f t="shared" si="15"/>
        <v>0</v>
      </c>
      <c r="J21" s="969">
        <f t="shared" si="15"/>
        <v>0</v>
      </c>
      <c r="K21" s="1028">
        <f t="shared" si="15"/>
        <v>0</v>
      </c>
      <c r="L21" s="969">
        <f t="shared" si="15"/>
        <v>644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3735</v>
      </c>
      <c r="X21" s="968">
        <f t="shared" si="16"/>
        <v>717</v>
      </c>
      <c r="Y21" s="975">
        <f t="shared" si="16"/>
        <v>4378</v>
      </c>
      <c r="Z21" s="975">
        <f t="shared" si="16"/>
        <v>0</v>
      </c>
      <c r="AA21" s="975">
        <f t="shared" si="16"/>
        <v>2634</v>
      </c>
      <c r="AB21" s="975">
        <f t="shared" si="16"/>
        <v>13340</v>
      </c>
      <c r="AC21" s="975">
        <f t="shared" si="16"/>
        <v>3078</v>
      </c>
      <c r="AD21" s="975">
        <f t="shared" si="16"/>
        <v>0</v>
      </c>
      <c r="AE21" s="977">
        <f t="shared" si="16"/>
        <v>0</v>
      </c>
      <c r="AF21" s="978">
        <f t="shared" si="16"/>
        <v>0</v>
      </c>
      <c r="AG21" s="979">
        <f t="shared" si="16"/>
        <v>0</v>
      </c>
      <c r="AH21" s="977">
        <f t="shared" si="16"/>
        <v>0</v>
      </c>
      <c r="AI21" s="967">
        <f t="shared" si="16"/>
        <v>1601</v>
      </c>
      <c r="AJ21" s="967">
        <f t="shared" si="16"/>
        <v>0</v>
      </c>
      <c r="AK21" s="977">
        <f t="shared" si="16"/>
        <v>0</v>
      </c>
      <c r="AL21" s="1031">
        <f>IF(ISNUMBER(NºAsuntos!G21/NºAsuntos!E21),NºAsuntos!G21/NºAsuntos!E21," - ")</f>
        <v>1.0437597410382449</v>
      </c>
      <c r="AM21" s="1032">
        <f>IF(ISNUMBER(((NºAsuntos!I21/NºAsuntos!G21)*11)/factor_trimestre),((NºAsuntos!I21/NºAsuntos!G21)*11)/factor_trimestre," - ")</f>
        <v>4.4569262577532731</v>
      </c>
      <c r="AN21" s="1032">
        <f>IF(ISNUMBER('Resol  Asuntos'!D21/NºAsuntos!G21),'Resol  Asuntos'!D21/NºAsuntos!G21," - ")</f>
        <v>0.18389616356535723</v>
      </c>
      <c r="AO21" s="1033">
        <f>IF(ISNUMBER((NºAsuntos!C21+NºAsuntos!E21)/NºAsuntos!G21),(NºAsuntos!C21+NºAsuntos!E21)/NºAsuntos!G21," - ")</f>
        <v>2.4745003445899378</v>
      </c>
      <c r="AP21" s="1034" t="str">
        <f t="shared" si="2"/>
        <v xml:space="preserve"> - </v>
      </c>
      <c r="AQ21" s="1035">
        <f>IF(OR(ISNUMBER(FIND("01",Criterios!A8,1)),ISNUMBER(FIND("02",Criterios!A8,1)),ISNUMBER(FIND("03",Criterios!A8,1)),ISNUMBER(FIND("04",Criterios!A8,1))),(I21-W21+K21)/(F21-K21),(H21-W21+K21)/(F21-K21))</f>
        <v>-1.8835098335854765</v>
      </c>
      <c r="AR21" s="1036">
        <f>IF(ISNUMBER((Datos!P21-Datos!Q21)/(Datos!R21-Datos!P21+Datos!Q21)),(Datos!P21-Datos!Q21)/(Datos!R21-Datos!P21+Datos!Q21)," - ")</f>
        <v>-5.4424811749794978E-3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892.4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3.3898243451407759</v>
      </c>
      <c r="F23" s="257">
        <f>IF(ISNUMBER(STDEV(F8:F20)),STDEV(F8:F20),"-")</f>
        <v>1040.9625353488952</v>
      </c>
      <c r="G23" s="258">
        <f>IF(ISNUMBER(STDEV(G8:G20)),STDEV(G8:G20),"-")</f>
        <v>995.34330760798309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1790.0406419967117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578.28391445230932</v>
      </c>
      <c r="AJ23" s="257">
        <f t="shared" si="20"/>
        <v>0</v>
      </c>
      <c r="AK23" s="259">
        <f t="shared" si="20"/>
        <v>0</v>
      </c>
      <c r="AL23" s="254">
        <f t="shared" si="20"/>
        <v>0.13695466405861609</v>
      </c>
      <c r="AM23" s="255">
        <f t="shared" si="20"/>
        <v>2.2320372656982426</v>
      </c>
      <c r="AN23" s="255">
        <f t="shared" si="20"/>
        <v>0.11307177310040917</v>
      </c>
      <c r="AO23" s="256">
        <f t="shared" si="20"/>
        <v>0.75346749594591067</v>
      </c>
      <c r="AP23" s="296" t="str">
        <f t="shared" si="20"/>
        <v>-</v>
      </c>
      <c r="AQ23" s="297">
        <f t="shared" si="20"/>
        <v>1.041261116222705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tFViSQUcvtDUtIOQTd17VNmzCfNg6es54ob5r+bX6xyAYXCfnDiT8L49A8To2EhYGuP0s7kYeXOAObiSyLE4w==" saltValue="8HN2Sh6aTV0BzQjfJZZF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MOSTOLES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0.14408396946564886</v>
      </c>
      <c r="I9" s="360">
        <f>IF(ISNUMBER((Tasas!C9-Datos!BE9)/Datos!BE9),(Tasas!C9-Datos!BE9)/Datos!BE9," - ")</f>
        <v>-4.7142238811116219E-2</v>
      </c>
      <c r="J9" s="359">
        <f>IF(ISNUMBER((Tasas!D9-Datos!BF9)/Datos!BF9),(Tasas!D9-Datos!BF9)/Datos!BF9," - ")</f>
        <v>-0.49078422492848267</v>
      </c>
      <c r="K9" s="361">
        <f>IF(ISNUMBER((Tasas!E9-Datos!BG9)/Datos!BG9),(Tasas!E9-Datos!BG9)/Datos!BG9," - ")</f>
        <v>-2.40080008767866E-2</v>
      </c>
      <c r="M9" t="e">
        <f>IF(Monitorios="SI",Datos!CE9,0)</f>
        <v>#REF!</v>
      </c>
      <c r="N9" t="e">
        <f>IF(Monitorios="SI",Datos!CF9,0)</f>
        <v>#REF!</v>
      </c>
      <c r="O9" t="e">
        <f>IF(Monitorios="SI",Datos!CG9,0)</f>
        <v>#REF!</v>
      </c>
      <c r="P9" t="e">
        <f>IF(Monitorios="SI",Datos!CH9,0)</f>
        <v>#REF!</v>
      </c>
      <c r="Q9">
        <f>IF(J_V="SI",0,Datos!AG9)</f>
        <v>169</v>
      </c>
      <c r="R9">
        <f>IF(J_V="SI",0,Datos!AH9)</f>
        <v>150</v>
      </c>
      <c r="S9">
        <f>IF(J_V="SI",0,Datos!AI9)</f>
        <v>135</v>
      </c>
      <c r="T9">
        <f>IF(J_V="SI",0,Datos!AJ9)</f>
        <v>184</v>
      </c>
    </row>
    <row r="10" spans="2:20" ht="14.25">
      <c r="B10" s="280" t="s">
        <v>273</v>
      </c>
      <c r="C10" s="7" t="str">
        <f>Datos!A10</f>
        <v>Jdos. Violencia contra la mujer</v>
      </c>
      <c r="D10" s="362">
        <f>IF(ISNUMBER((Datos!I10-Datos!S10)/Datos!S10),(Datos!I10-Datos!S10)/Datos!S10," - ")</f>
        <v>2.2727272727272728E-2</v>
      </c>
      <c r="E10" s="358">
        <f>IF(ISNUMBER((Datos!J10-Datos!T10)/Datos!T10),(Datos!J10-Datos!T10)/Datos!T10," - ")</f>
        <v>-2.0833333333333332E-2</v>
      </c>
      <c r="F10" s="358">
        <f>IF(ISNUMBER((Datos!K10-Datos!U10)/Datos!U10),(Datos!K10-Datos!U10)/Datos!U10," - ")</f>
        <v>-8.5106382978723402E-2</v>
      </c>
      <c r="G10" s="359">
        <f>IF(ISNUMBER((Datos!L10-Datos!V10)/Datos!V10),(Datos!L10-Datos!V10)/Datos!V10," - ")</f>
        <v>5.6179775280898875E-2</v>
      </c>
      <c r="H10" s="235">
        <f>IF(ISNUMBER((Datos!M10-Datos!W10)/Datos!W10),(Datos!M10-Datos!W10)/Datos!W10," - ")</f>
        <v>-9.0909090909090912E-2</v>
      </c>
      <c r="I10" s="360">
        <f>IF(ISNUMBER((Tasas!C10-Datos!BE10)/Datos!BE10),(Tasas!C10-Datos!BE10)/Datos!BE10," - ")</f>
        <v>0.1544290567023778</v>
      </c>
      <c r="J10" s="359">
        <f>IF(ISNUMBER((Tasas!D10-Datos!BF10)/Datos!BF10),(Tasas!D10-Datos!BF10)/Datos!BF10," - ")</f>
        <v>-6.3424947145877715E-3</v>
      </c>
      <c r="K10" s="361">
        <f>IF(ISNUMBER((Tasas!E10-Datos!BG10)/Datos!BG10),(Tasas!E10-Datos!BG10)/Datos!BG10," - ")</f>
        <v>0.10106019151846775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-0.27685950413223143</v>
      </c>
      <c r="I11" s="360">
        <f>IF(ISNUMBER((Tasas!C11-Datos!BE11)/Datos!BE11),(Tasas!C11-Datos!BE11)/Datos!BE11," - ")</f>
        <v>0.14180899304966937</v>
      </c>
      <c r="J11" s="359">
        <f>IF(ISNUMBER((Tasas!D11-Datos!BF11)/Datos!BF11),(Tasas!D11-Datos!BF11)/Datos!BF11," - ")</f>
        <v>-0.37085315997587298</v>
      </c>
      <c r="K11" s="361">
        <f>IF(ISNUMBER((Tasas!E11-Datos!BG11)/Datos!BG11),(Tasas!E11-Datos!BG11)/Datos!BG11," - ")</f>
        <v>-3.8916015217916822E-2</v>
      </c>
      <c r="M11" t="e">
        <f>IF(Monitorios="SI",Datos!CE11,0)</f>
        <v>#REF!</v>
      </c>
      <c r="N11" t="e">
        <f>IF(Monitorios="SI",Datos!CF11,0)</f>
        <v>#REF!</v>
      </c>
      <c r="O11" t="e">
        <f>IF(Monitorios="SI",Datos!CG11,0)</f>
        <v>#REF!</v>
      </c>
      <c r="P11" t="e">
        <f>IF(Monitorios="SI",Datos!CH11,0)</f>
        <v>#REF!</v>
      </c>
      <c r="Q11">
        <f>IF(J_V="SI",0,Datos!AG11)</f>
        <v>214</v>
      </c>
      <c r="R11">
        <f>IF(J_V="SI",0,Datos!AH11)</f>
        <v>268</v>
      </c>
      <c r="S11">
        <f>IF(J_V="SI",0,Datos!AI11)</f>
        <v>232</v>
      </c>
      <c r="T11">
        <f>IF(J_V="SI",0,Datos!AJ11)</f>
        <v>192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6.3797079169869333E-2</v>
      </c>
      <c r="I14" s="367">
        <f>IF(ISNUMBER((Tasas!C14-Datos!BE14)/Datos!BE14),(Tasas!C14-Datos!BE14)/Datos!BE14," - ")</f>
        <v>-2.8961528456559495E-2</v>
      </c>
      <c r="J14" s="365">
        <f>IF(ISNUMBER((Tasas!D14-Datos!BF14)/Datos!BF14),(Tasas!D14-Datos!BF14)/Datos!BF14," - ")</f>
        <v>-0.47680270439217071</v>
      </c>
      <c r="K14" s="368">
        <f>IF(ISNUMBER((Tasas!E14-Datos!BG14)/Datos!BG14),(Tasas!E14-Datos!BG14)/Datos!BG14," - ")</f>
        <v>-2.5271301986135232E-2</v>
      </c>
      <c r="M14" t="e">
        <f>IF(Monitorios="SI",Datos!CE14,0)</f>
        <v>#REF!</v>
      </c>
      <c r="N14" t="e">
        <f>IF(Monitorios="SI",Datos!CF14,0)</f>
        <v>#REF!</v>
      </c>
      <c r="O14" t="e">
        <f>IF(Monitorios="SI",Datos!CG14,0)</f>
        <v>#REF!</v>
      </c>
      <c r="P14" t="e">
        <f>IF(Monitorios="SI",Datos!CH14,0)</f>
        <v>#REF!</v>
      </c>
      <c r="Q14">
        <f>IF(J_V="SI",0,Datos!AG14)</f>
        <v>383</v>
      </c>
      <c r="R14">
        <f>IF(J_V="SI",0,Datos!AH14)</f>
        <v>418</v>
      </c>
      <c r="S14">
        <f>IF(J_V="SI",0,Datos!AI14)</f>
        <v>367</v>
      </c>
      <c r="T14">
        <f>IF(J_V="SI",0,Datos!AJ14)</f>
        <v>376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5.7714958775029447E-2</v>
      </c>
      <c r="E16" s="358">
        <f>IF(ISNUMBER(
   IF(D_I="SI",(Datos!J16-Datos!T16)/Datos!T16,(Datos!J16+Datos!AD16-(Datos!T16+Datos!AL16))/(Datos!T16+Datos!AL16))
     ),IF(D_I="SI",(Datos!J16-Datos!T16)/Datos!T16,(Datos!J16+Datos!AD16-(Datos!T16+Datos!AL16))/(Datos!T16+Datos!AL16))," - ")</f>
        <v>1.3260305563562986E-2</v>
      </c>
      <c r="F16" s="358">
        <f>IF(ISNUMBER(
   IF(D_I="SI",(Datos!K16-Datos!U16)/Datos!U16,(Datos!K16+Datos!AE16-(Datos!U16+Datos!AM16))/(Datos!U16+Datos!AM16))
     ),IF(D_I="SI",(Datos!K16-Datos!U16)/Datos!U16,(Datos!K16+Datos!AE16-(Datos!U16+Datos!AM16))/(Datos!U16+Datos!AM16))," - ")</f>
        <v>-0.1016133597509199</v>
      </c>
      <c r="G16" s="359">
        <f>IF(ISNUMBER(
   IF(D_I="SI",(Datos!L16-Datos!V16)/Datos!V16,(Datos!L16+Datos!AF16-(Datos!V16+Datos!AN16))/(Datos!V16+Datos!AN16))
     ),IF(D_I="SI",(Datos!L16-Datos!V16)/Datos!V16,(Datos!L16+Datos!AF16-(Datos!V16+Datos!AN16))/(Datos!V16+Datos!AN16))," - ")</f>
        <v>0.32267613972764947</v>
      </c>
      <c r="H16" s="235">
        <f>IF(ISNUMBER((Datos!M16-Datos!W16)/Datos!W16),(Datos!M16-Datos!W16)/Datos!W16," - ")</f>
        <v>-0.37106918238993708</v>
      </c>
      <c r="I16" s="360">
        <f>IF(ISNUMBER((Tasas!C16-Datos!BE16)/Datos!BE16),(Tasas!C16-Datos!BE16)/Datos!BE16," - ")</f>
        <v>0.47227939560736787</v>
      </c>
      <c r="J16" s="359">
        <f>IF(ISNUMBER((Tasas!D16-Datos!BF16)/Datos!BF16),(Tasas!D16-Datos!BF16)/Datos!BF16," - ")</f>
        <v>-0.2999330250106011</v>
      </c>
      <c r="K16" s="361">
        <f>IF(ISNUMBER((Tasas!E16-Datos!BG16)/Datos!BG16),(Tasas!E16-Datos!BG16)/Datos!BG16," - ")</f>
        <v>0.14412784393811287</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0.47435897435897434</v>
      </c>
      <c r="E18" s="358">
        <f>IF(ISNUMBER(
   IF(D_I="SI",(Datos!J18-Datos!T18)/Datos!T18,(Datos!J18+Datos!AD18-(Datos!T18+Datos!AL18))/(Datos!T18+Datos!AL18))
     ),IF(D_I="SI",(Datos!J18-Datos!T18)/Datos!T18,(Datos!J18+Datos!AD18-(Datos!T18+Datos!AL18))/(Datos!T18+Datos!AL18))," - ")</f>
        <v>0.2345360824742268</v>
      </c>
      <c r="F18" s="358">
        <f>IF(ISNUMBER(
   IF(D_I="SI",(Datos!K18-Datos!U18)/Datos!U18,(Datos!K18+Datos!AE18-(Datos!U18+Datos!AM18))/(Datos!U18+Datos!AM18))
     ),IF(D_I="SI",(Datos!K18-Datos!U18)/Datos!U18,(Datos!K18+Datos!AE18-(Datos!U18+Datos!AM18))/(Datos!U18+Datos!AM18))," - ")</f>
        <v>0.25728155339805825</v>
      </c>
      <c r="G18" s="359">
        <f>IF(ISNUMBER(
   IF(D_I="SI",(Datos!L18-Datos!V18)/Datos!V18,(Datos!L18+Datos!AF18-(Datos!V18+Datos!AN18))/(Datos!V18+Datos!AN18))
     ),IF(D_I="SI",(Datos!L18-Datos!V18)/Datos!V18,(Datos!L18+Datos!AF18-(Datos!V18+Datos!AN18))/(Datos!V18+Datos!AN18))," - ")</f>
        <v>0.41666666666666669</v>
      </c>
      <c r="H18" s="235">
        <f>IF(ISNUMBER((Datos!M18-Datos!W18)/Datos!W18),(Datos!M18-Datos!W18)/Datos!W18," - ")</f>
        <v>-5.5555555555555552E-2</v>
      </c>
      <c r="I18" s="360">
        <f>IF(ISNUMBER((Tasas!C18-Datos!BE18)/Datos!BE18),(Tasas!C18-Datos!BE18)/Datos!BE18," - ")</f>
        <v>0.12676962676962686</v>
      </c>
      <c r="J18" s="359">
        <f>IF(ISNUMBER((Tasas!D18-Datos!BF18)/Datos!BF18),(Tasas!D18-Datos!BF18)/Datos!BF18," - ")</f>
        <v>-0.24882024882024892</v>
      </c>
      <c r="K18" s="361">
        <f>IF(ISNUMBER((Tasas!E18-Datos!BG18)/Datos!BG18),(Tasas!E18-Datos!BG18)/Datos!BG18," - ")</f>
        <v>5.3669195148294782E-2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0.10817805383022774</v>
      </c>
      <c r="E20" s="364">
        <f>IF(ISNUMBER(
   IF(D_I="SI",(Datos!J20-Datos!T20)/Datos!T20,(Datos!J20+Datos!AD20-(Datos!T20+Datos!AL20))/(Datos!T20+Datos!AL20))
     ),IF(D_I="SI",(Datos!J20-Datos!T20)/Datos!T20,(Datos!J20+Datos!AD20-(Datos!T20+Datos!AL20))/(Datos!T20+Datos!AL20))," - ")</f>
        <v>3.5519834067928441E-2</v>
      </c>
      <c r="F20" s="364">
        <f>IF(ISNUMBER(
   IF(D_I="SI",(Datos!K20-Datos!U20)/Datos!U20,(Datos!K20+Datos!AE20-(Datos!U20+Datos!AM20))/(Datos!U20+Datos!AM20))
     ),IF(D_I="SI",(Datos!K20-Datos!U20)/Datos!U20,(Datos!K20+Datos!AE20-(Datos!U20+Datos!AM20))/(Datos!U20+Datos!AM20))," - ")</f>
        <v>-6.4131812420785805E-2</v>
      </c>
      <c r="G20" s="365">
        <f>IF(ISNUMBER(
   IF(D_I="SI",(Datos!L20-Datos!V20)/Datos!V20,(Datos!L20+Datos!AF20-(Datos!V20+Datos!AN20))/(Datos!V20+Datos!AN20))
     ),IF(D_I="SI",(Datos!L20-Datos!V20)/Datos!V20,(Datos!L20+Datos!AF20-(Datos!V20+Datos!AN20))/(Datos!V20+Datos!AN20))," - ")</f>
        <v>0.33333333333333331</v>
      </c>
      <c r="H20" s="366">
        <f>IF(ISNUMBER((Datos!M20-Datos!W20)/Datos!W20),(Datos!M20-Datos!W20)/Datos!W20," - ")</f>
        <v>-0.35416666666666669</v>
      </c>
      <c r="I20" s="367">
        <f>IF(ISNUMBER((Tasas!C20-Datos!BE20)/Datos!BE20),(Tasas!C20-Datos!BE20)/Datos!BE20," - ")</f>
        <v>0.42470205850487525</v>
      </c>
      <c r="J20" s="365">
        <f>IF(ISNUMBER((Tasas!D20-Datos!BF20)/Datos!BF20),(Tasas!D20-Datos!BF20)/Datos!BF20," - ")</f>
        <v>-0.30990994041170095</v>
      </c>
      <c r="K20" s="368">
        <f>IF(ISNUMBER((Tasas!E20-Datos!BG20)/Datos!BG20),(Tasas!E20-Datos!BG20)/Datos!BG20," - ")</f>
        <v>0.13239080094931038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-8.800773694390715E-2</v>
      </c>
      <c r="E21" s="373">
        <f>IF(ISNUMBER(
   IF(J_V="SI",(Datos!J21-Datos!T21)/Datos!T21,(Datos!J21+Datos!Z21-(Datos!T21+Datos!AH21))/(Datos!T21+Datos!AH21))
     ),IF(J_V="SI",(Datos!J21-Datos!T21)/Datos!T21,(Datos!J21+Datos!Z21-(Datos!T21+Datos!AH21))/(Datos!T21+Datos!AH21))," - ")</f>
        <v>-5.2589731940027258E-2</v>
      </c>
      <c r="F21" s="373">
        <f>IF(ISNUMBER(
   IF(J_V="SI",(Datos!K21-Datos!U21)/Datos!U21,(Datos!K21+Datos!AA21-(Datos!U21+Datos!AI21))/(Datos!U21+Datos!AI21))
     ),IF(J_V="SI",(Datos!K21-Datos!U21)/Datos!U21,(Datos!K21+Datos!AA21-(Datos!U21+Datos!AI21))/(Datos!U21+Datos!AI21))," - ")</f>
        <v>-8.2903191825555667E-2</v>
      </c>
      <c r="G21" s="374">
        <f>IF(ISNUMBER(
   IF(J_V="SI",(Datos!L21-Datos!V21)/Datos!V21,(Datos!L21+Datos!AB21-(Datos!V21+Datos!AJ21))/(Datos!V21+Datos!AJ21))
     ),IF(J_V="SI",(Datos!L21-Datos!V21)/Datos!V21,(Datos!L21+Datos!AB21-(Datos!V21+Datos!AJ21))/(Datos!V21+Datos!AJ21))," - ")</f>
        <v>-5.9277038330060365E-2</v>
      </c>
      <c r="H21" s="375">
        <f>IF(ISNUMBER((Datos!M21-Datos!W21)/Datos!W21),(Datos!M21-Datos!W21)/Datos!W21," - ")</f>
        <v>-2.1991447770311544E-2</v>
      </c>
      <c r="I21" s="372">
        <f>IF(ISNUMBER((Tasas!C21-Datos!BE21)/Datos!BE21),(Tasas!C21-Datos!BE21)/Datos!BE21," - ")</f>
        <v>2.5761896982855165E-2</v>
      </c>
      <c r="J21" s="373">
        <f>IF(ISNUMBER((Tasas!D21-Datos!BF21)/Datos!BF21),(Tasas!D21-Datos!BF21)/Datos!BF21," - ")</f>
        <v>-0.46499347817164072</v>
      </c>
      <c r="K21" s="374">
        <f>IF(ISNUMBER((Tasas!E21-Datos!BG21)/Datos!BG21),(Tasas!E21-Datos!BG21)/Datos!BG21," - ")</f>
        <v>9.0391654292216808E-3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0.20871120284749381</v>
      </c>
      <c r="E23" s="283">
        <f t="shared" si="1"/>
        <v>0.11497011111793835</v>
      </c>
      <c r="F23" s="283">
        <f t="shared" si="1"/>
        <v>0.17113807502278935</v>
      </c>
      <c r="G23" s="284">
        <f t="shared" si="1"/>
        <v>0.15643887124574196</v>
      </c>
      <c r="H23" s="290">
        <f t="shared" si="1"/>
        <v>0.20393941376846614</v>
      </c>
      <c r="I23" s="282">
        <f t="shared" si="1"/>
        <v>0.2022678343963332</v>
      </c>
      <c r="J23" s="283">
        <f t="shared" si="1"/>
        <v>0.16335114363501735</v>
      </c>
      <c r="K23" s="284">
        <f t="shared" si="1"/>
        <v>7.8857484452579396E-2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5/32LBKEDgObtup/oPHkOXe2t8qRQDWbGqfiad+GmipBcnZak5J/D4R0T+0vlgzspBbYz5+Ar7Tb0tVyn+itA==" saltValue="z9XrjSwDzsZDk1lPoqCwi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